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Index" sheetId="1" r:id="rId1"/>
    <sheet name="SHC system" sheetId="2" r:id="rId2"/>
    <sheet name="Conventional system" sheetId="3" r:id="rId3"/>
    <sheet name="Specific impacts SHC system" sheetId="4" r:id="rId4"/>
    <sheet name="Specific impacts conven. system" sheetId="5" r:id="rId5"/>
    <sheet name="Calculation" sheetId="6" state="hidden" r:id="rId6"/>
    <sheet name="Total impacts SHC system" sheetId="7" r:id="rId7"/>
    <sheet name="Total impacts convent. system" sheetId="8" r:id="rId8"/>
    <sheet name="Impacts comparison" sheetId="9" r:id="rId9"/>
    <sheet name="Payback indices" sheetId="10" r:id="rId10"/>
  </sheets>
  <definedNames>
    <definedName name="Energy1">'Specific impacts SHC system'!$A$31:$A$80</definedName>
    <definedName name="Energy2">'Specific impacts SHC system'!$A$81:$A$91</definedName>
    <definedName name="Energy3">'Specific impacts conven. system'!$A$37:$A$86</definedName>
    <definedName name="Energy4">'Specific impacts conven. system'!$A$87:$A$97</definedName>
  </definedNames>
  <calcPr fullCalcOnLoad="1"/>
</workbook>
</file>

<file path=xl/comments1.xml><?xml version="1.0" encoding="utf-8"?>
<comments xmlns="http://schemas.openxmlformats.org/spreadsheetml/2006/main">
  <authors>
    <author>Autore</author>
  </authors>
  <commentList>
    <comment ref="F13" authorId="0">
      <text>
        <r>
          <rPr>
            <sz val="9"/>
            <rFont val="Tahoma"/>
            <family val="2"/>
          </rPr>
          <t xml:space="preserve">
This worksheet shows the specific impacts (global energy requirement and global warming potential) for each component and energy source of the SHC system.
</t>
        </r>
      </text>
    </comment>
    <comment ref="F12" authorId="0">
      <text>
        <r>
          <rPr>
            <sz val="9"/>
            <rFont val="Tahoma"/>
            <family val="2"/>
          </rPr>
          <t xml:space="preserve">
This worksheet shows a list of the components and energy sources of the conventional system.</t>
        </r>
        <r>
          <rPr>
            <b/>
            <sz val="9"/>
            <rFont val="Tahoma"/>
            <family val="2"/>
          </rPr>
          <t xml:space="preserve">
</t>
        </r>
        <r>
          <rPr>
            <u val="single"/>
            <sz val="9"/>
            <rFont val="Tahoma"/>
            <family val="2"/>
          </rPr>
          <t xml:space="preserve">To be compiled by the user.
</t>
        </r>
      </text>
    </comment>
    <comment ref="F11" authorId="0">
      <text>
        <r>
          <rPr>
            <sz val="9"/>
            <rFont val="Tahoma"/>
            <family val="2"/>
          </rPr>
          <t xml:space="preserve">
This worksheet shows a list of the components and energy sources of the SHC system. 
</t>
        </r>
        <r>
          <rPr>
            <u val="single"/>
            <sz val="9"/>
            <rFont val="Tahoma"/>
            <family val="2"/>
          </rPr>
          <t xml:space="preserve">To be compiled by the user.
</t>
        </r>
        <r>
          <rPr>
            <b/>
            <sz val="9"/>
            <rFont val="Tahoma"/>
            <family val="2"/>
          </rPr>
          <t xml:space="preserve">
</t>
        </r>
      </text>
    </comment>
    <comment ref="F14" authorId="0">
      <text>
        <r>
          <rPr>
            <sz val="9"/>
            <rFont val="Tahoma"/>
            <family val="2"/>
          </rPr>
          <t xml:space="preserve">
This worksheet shows the specific impacts (global energy requirement and global warming potential) for each component and energy source of the conventional system.
</t>
        </r>
      </text>
    </comment>
    <comment ref="F15" authorId="0">
      <text>
        <r>
          <rPr>
            <sz val="9"/>
            <rFont val="Tahoma"/>
            <family val="2"/>
          </rPr>
          <t xml:space="preserve">
This worksheet shows the total impacts (global energy requirement and global warming potential) of the SHC system.</t>
        </r>
        <r>
          <rPr>
            <b/>
            <sz val="9"/>
            <rFont val="Tahoma"/>
            <family val="2"/>
          </rPr>
          <t xml:space="preserve">
</t>
        </r>
      </text>
    </comment>
    <comment ref="F16" authorId="0">
      <text>
        <r>
          <rPr>
            <sz val="9"/>
            <rFont val="Tahoma"/>
            <family val="2"/>
          </rPr>
          <t xml:space="preserve">
This worksheet shows the total impacts (global energy requirement and global warming potential) of the conventional system.</t>
        </r>
        <r>
          <rPr>
            <b/>
            <sz val="9"/>
            <rFont val="Tahoma"/>
            <family val="2"/>
          </rPr>
          <t xml:space="preserve">
</t>
        </r>
      </text>
    </comment>
    <comment ref="F17" authorId="0">
      <text>
        <r>
          <rPr>
            <sz val="9"/>
            <rFont val="Tahoma"/>
            <family val="2"/>
          </rPr>
          <t xml:space="preserve">
This worksheet shows the impacts comparison between the SHC and the conventional system.</t>
        </r>
        <r>
          <rPr>
            <b/>
            <sz val="9"/>
            <rFont val="Tahoma"/>
            <family val="2"/>
          </rPr>
          <t xml:space="preserve">
</t>
        </r>
      </text>
    </comment>
    <comment ref="F18" authorId="0">
      <text>
        <r>
          <rPr>
            <sz val="9"/>
            <rFont val="Tahoma"/>
            <family val="2"/>
          </rPr>
          <t>This worksheet shows the energy and environmental payback indices.</t>
        </r>
      </text>
    </comment>
  </commentList>
</comments>
</file>

<file path=xl/comments10.xml><?xml version="1.0" encoding="utf-8"?>
<comments xmlns="http://schemas.openxmlformats.org/spreadsheetml/2006/main">
  <authors>
    <author>Autore</author>
  </authors>
  <commentList>
    <comment ref="B16" authorId="0">
      <text>
        <r>
          <rPr>
            <sz val="9"/>
            <rFont val="Tahoma"/>
            <family val="2"/>
          </rPr>
          <t>Primary energy consumed during LCA phases of SHC system except for
the operation phase</t>
        </r>
      </text>
    </comment>
    <comment ref="B17" authorId="0">
      <text>
        <r>
          <rPr>
            <sz val="9"/>
            <rFont val="Tahoma"/>
            <family val="2"/>
          </rPr>
          <t xml:space="preserve">Primary energy consumed during LCA phases of Conventional system except for
the operation phase
</t>
        </r>
      </text>
    </comment>
    <comment ref="B18" authorId="0">
      <text>
        <r>
          <rPr>
            <sz val="9"/>
            <rFont val="Tahoma"/>
            <family val="2"/>
          </rPr>
          <t xml:space="preserve">Net yearly primary energy saving due to the use of the SHC system
</t>
        </r>
      </text>
    </comment>
    <comment ref="G16" authorId="0">
      <text>
        <r>
          <rPr>
            <sz val="9"/>
            <rFont val="Tahoma"/>
            <family val="2"/>
          </rPr>
          <t>GWP generated during LCA phases of SHC system except for
the operation phase</t>
        </r>
      </text>
    </comment>
    <comment ref="G17" authorId="0">
      <text>
        <r>
          <rPr>
            <sz val="9"/>
            <rFont val="Tahoma"/>
            <family val="2"/>
          </rPr>
          <t xml:space="preserve">GWP generated during LCA phases of Conventional system except for
the operation phase
</t>
        </r>
      </text>
    </comment>
    <comment ref="G18" authorId="0">
      <text>
        <r>
          <rPr>
            <sz val="9"/>
            <rFont val="Tahoma"/>
            <family val="2"/>
          </rPr>
          <t xml:space="preserve">Net Yearly avoided GWP due to the use of the SHC system
</t>
        </r>
      </text>
    </comment>
    <comment ref="B27" authorId="0">
      <text>
        <r>
          <rPr>
            <sz val="9"/>
            <rFont val="Tahoma"/>
            <family val="2"/>
          </rPr>
          <t>Primary energy consumed during LCA phases of SHC system except for
the operation phase</t>
        </r>
      </text>
    </comment>
    <comment ref="B28" authorId="0">
      <text>
        <r>
          <rPr>
            <sz val="9"/>
            <rFont val="Tahoma"/>
            <family val="2"/>
          </rPr>
          <t>Net primary energy saving during the overall lifetime of system.</t>
        </r>
      </text>
    </comment>
  </commentList>
</comments>
</file>

<file path=xl/comments2.xml><?xml version="1.0" encoding="utf-8"?>
<comments xmlns="http://schemas.openxmlformats.org/spreadsheetml/2006/main">
  <authors>
    <author>Autore</author>
  </authors>
  <commentList>
    <comment ref="D1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3"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6"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7"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8"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2" authorId="0">
      <text>
        <r>
          <rPr>
            <b/>
            <sz val="9"/>
            <rFont val="Tahoma"/>
            <family val="2"/>
          </rPr>
          <t xml:space="preserve">
!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 </t>
        </r>
        <r>
          <rPr>
            <sz val="9"/>
            <rFont val="Tahoma"/>
            <family val="2"/>
          </rPr>
          <t>Using multiple units to reach a total size related to a single component can reduce the reliability of results.</t>
        </r>
      </text>
    </comment>
    <comment ref="D25"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3.xml><?xml version="1.0" encoding="utf-8"?>
<comments xmlns="http://schemas.openxmlformats.org/spreadsheetml/2006/main">
  <authors>
    <author>Autore</author>
  </authors>
  <commentList>
    <comment ref="D21"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
</t>
        </r>
        <r>
          <rPr>
            <b/>
            <sz val="9"/>
            <rFont val="Tahoma"/>
            <family val="2"/>
          </rPr>
          <t xml:space="preserve">
</t>
        </r>
        <r>
          <rPr>
            <sz val="9"/>
            <rFont val="Tahoma"/>
            <family val="2"/>
          </rPr>
          <t xml:space="preserve">
</t>
        </r>
      </text>
    </comment>
    <comment ref="D2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t>
        </r>
        <r>
          <rPr>
            <sz val="9"/>
            <rFont val="Tahoma"/>
            <family val="2"/>
          </rPr>
          <t xml:space="preserve"> Using multiple units to reach a total size related to a single component can reduce the reliability of results.
</t>
        </r>
      </text>
    </comment>
    <comment ref="D22" authorId="0">
      <text>
        <r>
          <rPr>
            <b/>
            <sz val="9"/>
            <rFont val="Tahoma"/>
            <family val="2"/>
          </rPr>
          <t xml:space="preserve">
! Warning: </t>
        </r>
        <r>
          <rPr>
            <sz val="9"/>
            <rFont val="Tahoma"/>
            <family val="2"/>
          </rPr>
          <t xml:space="preserve">Using multiple units to reach a total size related to a single component can reduce the reliability of results.
</t>
        </r>
      </text>
    </comment>
    <comment ref="D20"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3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4.xml><?xml version="1.0" encoding="utf-8"?>
<comments xmlns="http://schemas.openxmlformats.org/spreadsheetml/2006/main">
  <authors>
    <author>Autore</author>
  </authors>
  <commentList>
    <comment ref="E11" authorId="0">
      <text>
        <r>
          <rPr>
            <sz val="9"/>
            <rFont val="Tahoma"/>
            <family val="2"/>
          </rPr>
          <t>GWP is calculated using the impact assessment method "IPCC 2013 GWP 100 year".</t>
        </r>
      </text>
    </comment>
    <comment ref="B11" authorId="0">
      <text>
        <r>
          <rPr>
            <sz val="9"/>
            <rFont val="Tahoma"/>
            <family val="2"/>
          </rPr>
          <t>GER is calculated using the impact assessment method "Cumulative Energy Demand".</t>
        </r>
      </text>
    </comment>
    <comment ref="B29" authorId="0">
      <text>
        <r>
          <rPr>
            <sz val="9"/>
            <rFont val="Tahoma"/>
            <family val="2"/>
          </rPr>
          <t>GER is calculated using the impact assessment method "Cumulative Energy Demand".</t>
        </r>
      </text>
    </comment>
    <comment ref="E29" authorId="0">
      <text>
        <r>
          <rPr>
            <sz val="9"/>
            <rFont val="Tahoma"/>
            <family val="2"/>
          </rPr>
          <t>GWP is calculated using the impact assessment method "IPCC 2013 GWP 100 year".</t>
        </r>
      </text>
    </comment>
  </commentList>
</comments>
</file>

<file path=xl/comments5.xml><?xml version="1.0" encoding="utf-8"?>
<comments xmlns="http://schemas.openxmlformats.org/spreadsheetml/2006/main">
  <authors>
    <author>Autore</author>
  </authors>
  <commentList>
    <comment ref="B11" authorId="0">
      <text>
        <r>
          <rPr>
            <sz val="9"/>
            <rFont val="Tahoma"/>
            <family val="2"/>
          </rPr>
          <t>GER is calculated using the impact assessment method "Cumulative Energy Demand".</t>
        </r>
      </text>
    </comment>
    <comment ref="E11" authorId="0">
      <text>
        <r>
          <rPr>
            <sz val="9"/>
            <rFont val="Tahoma"/>
            <family val="2"/>
          </rPr>
          <t>GWP is calculated using the impact assessment method "IPCC 2013 GWP 100 year".</t>
        </r>
      </text>
    </comment>
    <comment ref="B35" authorId="0">
      <text>
        <r>
          <rPr>
            <sz val="9"/>
            <rFont val="Tahoma"/>
            <family val="2"/>
          </rPr>
          <t>GER is calculated using the impact assessment method "Cumulative Energy Demand".</t>
        </r>
      </text>
    </comment>
    <comment ref="E35" authorId="0">
      <text>
        <r>
          <rPr>
            <sz val="9"/>
            <rFont val="Tahoma"/>
            <family val="2"/>
          </rPr>
          <t>GWP is calculated using the impact assessment method "IPCC 2013 GWP 100 year".</t>
        </r>
      </text>
    </comment>
  </commentList>
</comments>
</file>

<file path=xl/sharedStrings.xml><?xml version="1.0" encoding="utf-8"?>
<sst xmlns="http://schemas.openxmlformats.org/spreadsheetml/2006/main" count="969" uniqueCount="195">
  <si>
    <t>Conventional chiller</t>
  </si>
  <si>
    <t xml:space="preserve">Adsorption chiller </t>
  </si>
  <si>
    <t>Cooling tower</t>
  </si>
  <si>
    <t>Heat rejection system</t>
  </si>
  <si>
    <t>Pipes</t>
  </si>
  <si>
    <t>Glycol</t>
  </si>
  <si>
    <t>Water</t>
  </si>
  <si>
    <t>Ammonia</t>
  </si>
  <si>
    <t>Electricity</t>
  </si>
  <si>
    <t>Photovoltaic panel, a-Si</t>
  </si>
  <si>
    <t>Photovoltaic panel, CdTe</t>
  </si>
  <si>
    <t>Photovoltaic panel, CIS</t>
  </si>
  <si>
    <t>Photovoltaic panel, multi-Si</t>
  </si>
  <si>
    <t>Photovoltaic panel, ribbon-Si</t>
  </si>
  <si>
    <t>Photovoltaic panel, single-Si</t>
  </si>
  <si>
    <t>Absorption chiller</t>
  </si>
  <si>
    <t>Evacuated tube collector</t>
  </si>
  <si>
    <t>Flat plate collector</t>
  </si>
  <si>
    <t>Manufacturing</t>
  </si>
  <si>
    <t>Operation</t>
  </si>
  <si>
    <t>End-of-Life</t>
  </si>
  <si>
    <t>Electricity, low voltage, Austria (including import)</t>
  </si>
  <si>
    <t>U.M.</t>
  </si>
  <si>
    <t>Auxiliary gas boiler</t>
  </si>
  <si>
    <t>Auxiliary conventional chiller</t>
  </si>
  <si>
    <t>COMPONENTS</t>
  </si>
  <si>
    <t>END-OF-LIFE STEP</t>
  </si>
  <si>
    <t>MANUFACTURING STEP</t>
  </si>
  <si>
    <t>ENERGY SOURCES</t>
  </si>
  <si>
    <t>Electricity, low voltage, Belgium (including import)</t>
  </si>
  <si>
    <t>Electricity, low voltage, Bulgaria (including import)</t>
  </si>
  <si>
    <t>Electricity, low voltage, Switzerland (including import)</t>
  </si>
  <si>
    <t>Electricity, low voltage, Czech Republic (including import)</t>
  </si>
  <si>
    <t>Electricity, low voltage, Germany (including import)</t>
  </si>
  <si>
    <t>Electricity, low voltage, Denmark (including import)</t>
  </si>
  <si>
    <t>Electricity, low voltage, Spain (including import)</t>
  </si>
  <si>
    <t>Electricity, low voltage, Finland (including import)</t>
  </si>
  <si>
    <t>Electricity, low voltage, France (including import)</t>
  </si>
  <si>
    <t>Electricity, low voltage, United Kingdom (including import)</t>
  </si>
  <si>
    <t>Electricity, low voltage, Greece (including import)</t>
  </si>
  <si>
    <t>Electricity, low voltage, Croatia (including import)</t>
  </si>
  <si>
    <t>Electricity, low voltage, Hungary (including import)</t>
  </si>
  <si>
    <t>Electricity, low voltage, Ireland (including import)</t>
  </si>
  <si>
    <t>Electricity, low voltage, Italy (including import)</t>
  </si>
  <si>
    <t>Electricity, low voltage, Luxembourg (including import)</t>
  </si>
  <si>
    <t>Electricity, low voltage, Netherlands (including import)</t>
  </si>
  <si>
    <t>Electricity, low voltage, Poland (including import)</t>
  </si>
  <si>
    <t>Electricity, low voltage, Portugal (including import)</t>
  </si>
  <si>
    <t>Electricity, low voltage, Romania (including import)</t>
  </si>
  <si>
    <t>Electricity, low voltage, Sweden (including import)</t>
  </si>
  <si>
    <t>Electricity, low voltage, Slovenia (including import)</t>
  </si>
  <si>
    <t>Electricity, low voltage, Slovakia (including import)</t>
  </si>
  <si>
    <t>Electricity, low voltage, Austria (excluding import)</t>
  </si>
  <si>
    <t>Electricity, low voltage, Europe</t>
  </si>
  <si>
    <t>Electricity, low voltage, Belgium (excluding import)</t>
  </si>
  <si>
    <t>Electricity, low voltage, Bulgaria (excluding import)</t>
  </si>
  <si>
    <t>Electricity, low voltage, Croatia (excluding import)</t>
  </si>
  <si>
    <t>Electricity, low voltage, Czech Republic (excluding import)</t>
  </si>
  <si>
    <t>Electricity, low voltage, Denmark (excluding import)</t>
  </si>
  <si>
    <t>Electricity, low voltage, Finland (excluding import)</t>
  </si>
  <si>
    <t>Electricity, low voltage, France (excluding import)</t>
  </si>
  <si>
    <t>Electricity, low voltage, Germany (excluding import)</t>
  </si>
  <si>
    <t>Electricity, low voltage, Greece (excluding import)</t>
  </si>
  <si>
    <t>Electricity, low voltage, Hungary (excluding import)</t>
  </si>
  <si>
    <t>Electricity, low voltage, Ireland (excluding import)</t>
  </si>
  <si>
    <t>Electricity, low voltage, Italy (excluding import)</t>
  </si>
  <si>
    <t>Electricity, low voltage, Luxembourg (excluding import)</t>
  </si>
  <si>
    <t>Electricity, low voltage, Netherlands (excluding import)</t>
  </si>
  <si>
    <t>Electricity, low voltage, Poland (excluding import)</t>
  </si>
  <si>
    <t>Electricity, low voltage, Portugal (excluding import)</t>
  </si>
  <si>
    <t>Electricity, low voltage, Romania (excluding import)</t>
  </si>
  <si>
    <t>Electricity, low voltage, Slovakia (excluding import)</t>
  </si>
  <si>
    <t>Electricity, low voltage, Slovenia (excluding import)</t>
  </si>
  <si>
    <t>Electricity, low voltage, Spain (excluding import)</t>
  </si>
  <si>
    <t>Electricity, low voltage, Sweden (excluding import)</t>
  </si>
  <si>
    <t>Electricity, low voltage, Switzerland (excluding import)</t>
  </si>
  <si>
    <t>Electricity, low voltage, United Kingdom (excluding import)</t>
  </si>
  <si>
    <t>Natural gas, burned in boiler atmosferic burner non-modulating, &lt;100 kW, Europe</t>
  </si>
  <si>
    <t>Natural gas, burned in boiler atmosferic low-NOx condensing non-modulating, &lt;100 kW, Europe</t>
  </si>
  <si>
    <t>Natural gas, burned in boiler condensing modulating, &lt;100 kW, Europe</t>
  </si>
  <si>
    <t>Natural gas, burned in boiler condensing modulating, &gt;100 kW, Europe</t>
  </si>
  <si>
    <t>Natural gas, burned in boiler fan burner non-modulating, &lt;100 kW, Europe</t>
  </si>
  <si>
    <t>Natural gas, burned in boiler modulating, &lt;100 kW, Europe</t>
  </si>
  <si>
    <t>Natural gas, burned in boiler modulating, &gt;100 kW, Europe</t>
  </si>
  <si>
    <t>Natural gas, burned in industrial furnace, &gt;100 kW, Europe</t>
  </si>
  <si>
    <t>Natural gas, burned in industrial furnace low-NOx, &gt;100 kW, Europe</t>
  </si>
  <si>
    <t>QUANTITY</t>
  </si>
  <si>
    <t>Impacts comparison</t>
  </si>
  <si>
    <t>Payback indices</t>
  </si>
  <si>
    <t>Description</t>
  </si>
  <si>
    <t>Click here</t>
  </si>
  <si>
    <t>Heat storage (2000 l)</t>
  </si>
  <si>
    <t>Pump (40 W)</t>
  </si>
  <si>
    <t>Natural gas</t>
  </si>
  <si>
    <t>unit</t>
  </si>
  <si>
    <t>m</t>
  </si>
  <si>
    <r>
      <t>m</t>
    </r>
    <r>
      <rPr>
        <vertAlign val="superscript"/>
        <sz val="12"/>
        <color indexed="8"/>
        <rFont val="Arial Narrow"/>
        <family val="2"/>
      </rPr>
      <t>2</t>
    </r>
  </si>
  <si>
    <t>MJ/kWh</t>
  </si>
  <si>
    <r>
      <t>kg CO</t>
    </r>
    <r>
      <rPr>
        <vertAlign val="subscript"/>
        <sz val="12"/>
        <color indexed="8"/>
        <rFont val="Arial Narrow"/>
        <family val="2"/>
      </rPr>
      <t>2eq</t>
    </r>
    <r>
      <rPr>
        <sz val="12"/>
        <color indexed="8"/>
        <rFont val="Arial Narrow"/>
        <family val="2"/>
      </rPr>
      <t>/kWh</t>
    </r>
  </si>
  <si>
    <r>
      <t>kg CO</t>
    </r>
    <r>
      <rPr>
        <vertAlign val="subscript"/>
        <sz val="11"/>
        <color indexed="8"/>
        <rFont val="Arial Narrow"/>
        <family val="2"/>
      </rPr>
      <t>2eq</t>
    </r>
    <r>
      <rPr>
        <sz val="11"/>
        <color indexed="8"/>
        <rFont val="Arial Narrow"/>
        <family val="2"/>
      </rPr>
      <t>/kWh</t>
    </r>
  </si>
  <si>
    <t>Total</t>
  </si>
  <si>
    <t>GER (MJ)</t>
  </si>
  <si>
    <t>-</t>
  </si>
  <si>
    <t>=</t>
  </si>
  <si>
    <r>
      <t>E</t>
    </r>
    <r>
      <rPr>
        <vertAlign val="subscript"/>
        <sz val="12"/>
        <color indexed="8"/>
        <rFont val="Arial Narrow"/>
        <family val="2"/>
      </rPr>
      <t>year</t>
    </r>
  </si>
  <si>
    <t>MJ</t>
  </si>
  <si>
    <r>
      <t>GER</t>
    </r>
    <r>
      <rPr>
        <vertAlign val="subscript"/>
        <sz val="12"/>
        <color indexed="8"/>
        <rFont val="Arial Narrow"/>
        <family val="2"/>
      </rPr>
      <t>SHC-system</t>
    </r>
  </si>
  <si>
    <r>
      <t>GER</t>
    </r>
    <r>
      <rPr>
        <vertAlign val="subscript"/>
        <sz val="12"/>
        <color indexed="8"/>
        <rFont val="Arial Narrow"/>
        <family val="2"/>
      </rPr>
      <t>Conventional-system</t>
    </r>
  </si>
  <si>
    <r>
      <t>GWP</t>
    </r>
    <r>
      <rPr>
        <vertAlign val="subscript"/>
        <sz val="12"/>
        <color indexed="8"/>
        <rFont val="Arial Narrow"/>
        <family val="2"/>
      </rPr>
      <t>SHC-system</t>
    </r>
  </si>
  <si>
    <r>
      <t>GWP</t>
    </r>
    <r>
      <rPr>
        <vertAlign val="subscript"/>
        <sz val="12"/>
        <color indexed="8"/>
        <rFont val="Arial Narrow"/>
        <family val="2"/>
      </rPr>
      <t>Conventional-system</t>
    </r>
  </si>
  <si>
    <r>
      <t>GWP</t>
    </r>
    <r>
      <rPr>
        <vertAlign val="subscript"/>
        <sz val="12"/>
        <color indexed="8"/>
        <rFont val="Arial Narrow"/>
        <family val="2"/>
      </rPr>
      <t>year</t>
    </r>
  </si>
  <si>
    <r>
      <t>kgCO</t>
    </r>
    <r>
      <rPr>
        <vertAlign val="subscript"/>
        <sz val="12"/>
        <color indexed="8"/>
        <rFont val="Arial Narrow"/>
        <family val="2"/>
      </rPr>
      <t>2eq</t>
    </r>
  </si>
  <si>
    <t>year</t>
  </si>
  <si>
    <t>MJ/year</t>
  </si>
  <si>
    <r>
      <t>kgCO</t>
    </r>
    <r>
      <rPr>
        <vertAlign val="subscript"/>
        <sz val="12"/>
        <color indexed="8"/>
        <rFont val="Arial Narrow"/>
        <family val="2"/>
      </rPr>
      <t>2eq</t>
    </r>
    <r>
      <rPr>
        <sz val="12"/>
        <color indexed="8"/>
        <rFont val="Arial Narrow"/>
        <family val="2"/>
      </rPr>
      <t>/year</t>
    </r>
  </si>
  <si>
    <r>
      <t>E</t>
    </r>
    <r>
      <rPr>
        <vertAlign val="subscript"/>
        <sz val="12"/>
        <color indexed="8"/>
        <rFont val="Arial Narrow"/>
        <family val="2"/>
      </rPr>
      <t>overall</t>
    </r>
  </si>
  <si>
    <t>Useful life of the system</t>
  </si>
  <si>
    <t>Energy Payback Time</t>
  </si>
  <si>
    <r>
      <t>Energy Payback Time=(GER</t>
    </r>
    <r>
      <rPr>
        <b/>
        <vertAlign val="subscript"/>
        <sz val="12"/>
        <color indexed="8"/>
        <rFont val="Arial Narrow"/>
        <family val="2"/>
      </rPr>
      <t>SHC-system</t>
    </r>
    <r>
      <rPr>
        <b/>
        <sz val="12"/>
        <color indexed="8"/>
        <rFont val="Arial Narrow"/>
        <family val="2"/>
      </rPr>
      <t>-GER</t>
    </r>
    <r>
      <rPr>
        <b/>
        <vertAlign val="subscript"/>
        <sz val="12"/>
        <color indexed="8"/>
        <rFont val="Arial Narrow"/>
        <family val="2"/>
      </rPr>
      <t>Conventional-system</t>
    </r>
    <r>
      <rPr>
        <b/>
        <sz val="12"/>
        <color indexed="8"/>
        <rFont val="Arial Narrow"/>
        <family val="2"/>
      </rPr>
      <t>)/E</t>
    </r>
    <r>
      <rPr>
        <b/>
        <vertAlign val="subscript"/>
        <sz val="12"/>
        <color indexed="8"/>
        <rFont val="Arial Narrow"/>
        <family val="2"/>
      </rPr>
      <t>year</t>
    </r>
  </si>
  <si>
    <r>
      <t>GWP Payback Time=(GWP</t>
    </r>
    <r>
      <rPr>
        <b/>
        <vertAlign val="subscript"/>
        <sz val="12"/>
        <color indexed="8"/>
        <rFont val="Arial Narrow"/>
        <family val="2"/>
      </rPr>
      <t>SHC-system</t>
    </r>
    <r>
      <rPr>
        <b/>
        <sz val="12"/>
        <color indexed="8"/>
        <rFont val="Arial Narrow"/>
        <family val="2"/>
      </rPr>
      <t>-GWP</t>
    </r>
    <r>
      <rPr>
        <b/>
        <vertAlign val="subscript"/>
        <sz val="12"/>
        <color indexed="8"/>
        <rFont val="Arial Narrow"/>
        <family val="2"/>
      </rPr>
      <t>Conventional-system</t>
    </r>
    <r>
      <rPr>
        <b/>
        <sz val="12"/>
        <color indexed="8"/>
        <rFont val="Arial Narrow"/>
        <family val="2"/>
      </rPr>
      <t>)/GWP</t>
    </r>
    <r>
      <rPr>
        <b/>
        <vertAlign val="subscript"/>
        <sz val="12"/>
        <color indexed="8"/>
        <rFont val="Arial Narrow"/>
        <family val="2"/>
      </rPr>
      <t>year</t>
    </r>
  </si>
  <si>
    <t>GWP Payback Time</t>
  </si>
  <si>
    <t>Energy Return Ratio</t>
  </si>
  <si>
    <r>
      <t>Energy Return Ratio=E</t>
    </r>
    <r>
      <rPr>
        <b/>
        <vertAlign val="subscript"/>
        <sz val="12"/>
        <color indexed="8"/>
        <rFont val="Arial Narrow"/>
        <family val="2"/>
      </rPr>
      <t>overall</t>
    </r>
    <r>
      <rPr>
        <b/>
        <sz val="12"/>
        <color indexed="8"/>
        <rFont val="Arial Narrow"/>
        <family val="2"/>
      </rPr>
      <t>/GER</t>
    </r>
    <r>
      <rPr>
        <b/>
        <vertAlign val="subscript"/>
        <sz val="12"/>
        <color indexed="8"/>
        <rFont val="Arial Narrow"/>
        <family val="2"/>
      </rPr>
      <t>SHC-system</t>
    </r>
  </si>
  <si>
    <t>Energy Return Ratio represents how many times the energy saving overcomes the global energy consumption due to the SHC system.</t>
  </si>
  <si>
    <t>COMPONENTS OF THE CONVENTIONAL SYSTEM</t>
  </si>
  <si>
    <t>SHC system</t>
  </si>
  <si>
    <t>Conventional system</t>
  </si>
  <si>
    <t>Specific impacts SHC system</t>
  </si>
  <si>
    <t>Specific impacts conventional system</t>
  </si>
  <si>
    <t>Total impacts SHC system</t>
  </si>
  <si>
    <t>Total impacts conventional system</t>
  </si>
  <si>
    <t>COMPONENTS OF THE SHC SYSTEM</t>
  </si>
  <si>
    <t>OTHER INFORMATION</t>
  </si>
  <si>
    <t>Absorption chiller (12 kW)</t>
  </si>
  <si>
    <t>Auxiliary conventional chiller (10 kW)</t>
  </si>
  <si>
    <t>Adsorption chiller (8 kW)</t>
  </si>
  <si>
    <t>Auxiliary gas boiler (10 kW)</t>
  </si>
  <si>
    <t>Absorption chiller (19 kW)</t>
  </si>
  <si>
    <t>kg</t>
  </si>
  <si>
    <t>Electric installation (PV system)</t>
  </si>
  <si>
    <t>MJ/unit</t>
  </si>
  <si>
    <r>
      <t>kgCO</t>
    </r>
    <r>
      <rPr>
        <vertAlign val="subscript"/>
        <sz val="12"/>
        <color indexed="8"/>
        <rFont val="Arial Narrow"/>
        <family val="2"/>
      </rPr>
      <t>2eq</t>
    </r>
    <r>
      <rPr>
        <sz val="12"/>
        <color indexed="8"/>
        <rFont val="Arial Narrow"/>
        <family val="2"/>
      </rPr>
      <t>/unit</t>
    </r>
  </si>
  <si>
    <t>Natural gas, burned in boiler fan burner low-Nox non-modulating, &lt;100 kW, Europe</t>
  </si>
  <si>
    <t>MJ/kg</t>
  </si>
  <si>
    <r>
      <t>MJ/m</t>
    </r>
    <r>
      <rPr>
        <vertAlign val="superscript"/>
        <sz val="12"/>
        <color indexed="8"/>
        <rFont val="Arial Narrow"/>
        <family val="2"/>
      </rPr>
      <t>2</t>
    </r>
  </si>
  <si>
    <t>MJ/m</t>
  </si>
  <si>
    <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</si>
  <si>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</si>
  <si>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t>kgCO</t>
    </r>
    <r>
      <rPr>
        <vertAlign val="subscript"/>
        <sz val="12"/>
        <color indexed="8"/>
        <rFont val="Arial Narrow"/>
        <family val="2"/>
      </rPr>
      <t>2eq</t>
    </r>
    <r>
      <rPr>
        <sz val="12"/>
        <color indexed="8"/>
        <rFont val="Arial Narrow"/>
        <family val="2"/>
      </rPr>
      <t>/m</t>
    </r>
  </si>
  <si>
    <r>
      <rPr>
        <sz val="12"/>
        <color indexed="8"/>
        <rFont val="Arial Narrow"/>
        <family val="2"/>
      </rPr>
      <t>kgCO</t>
    </r>
    <r>
      <rPr>
        <vertAlign val="subscript"/>
        <sz val="12"/>
        <color indexed="8"/>
        <rFont val="Arial Narrow"/>
        <family val="2"/>
      </rPr>
      <t>2eq</t>
    </r>
    <r>
      <rPr>
        <sz val="12"/>
        <color indexed="8"/>
        <rFont val="Arial Narrow"/>
        <family val="2"/>
      </rPr>
      <t>/unit</t>
    </r>
  </si>
  <si>
    <r>
      <rPr>
        <sz val="12"/>
        <color indexed="8"/>
        <rFont val="Arial Narrow"/>
        <family val="2"/>
      </rP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</si>
  <si>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rPr>
        <sz val="12"/>
        <color indexed="8"/>
        <rFont val="Arial Narrow"/>
        <family val="2"/>
      </rP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</si>
  <si>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/l</t>
    </r>
  </si>
  <si>
    <t>Key</t>
  </si>
  <si>
    <t>Information data</t>
  </si>
  <si>
    <t>Input data</t>
  </si>
  <si>
    <t>Output data</t>
  </si>
  <si>
    <t>System</t>
  </si>
  <si>
    <t>Battery lithium-iron-phosphate</t>
  </si>
  <si>
    <t>Battery sodium-nickel-chloride</t>
  </si>
  <si>
    <t>Battery nickel metal hydride</t>
  </si>
  <si>
    <t>Battery nickel cobalt manganese</t>
  </si>
  <si>
    <t>Battery nickel cadmium</t>
  </si>
  <si>
    <t>Battery v-redox</t>
  </si>
  <si>
    <r>
      <t>GWP (kg CO</t>
    </r>
    <r>
      <rPr>
        <vertAlign val="subscript"/>
        <sz val="12"/>
        <color indexed="8"/>
        <rFont val="Arial Narrow"/>
        <family val="2"/>
      </rPr>
      <t>2eq</t>
    </r>
    <r>
      <rPr>
        <sz val="12"/>
        <color indexed="8"/>
        <rFont val="Arial Narrow"/>
        <family val="2"/>
      </rPr>
      <t>)</t>
    </r>
  </si>
  <si>
    <t>GO TO INDEX</t>
  </si>
  <si>
    <t>Battery lithium-ion-manganate</t>
  </si>
  <si>
    <t>Battery lead-acid</t>
  </si>
  <si>
    <t>! Recommendation for users: please note that this tool must be used only for academic and research activities</t>
  </si>
  <si>
    <t>Cooling tower (32 kW)</t>
  </si>
  <si>
    <t>Pumps</t>
  </si>
  <si>
    <t>Gas boiler (10 kW)</t>
  </si>
  <si>
    <t>Conventional chiller (10 kW)</t>
  </si>
  <si>
    <t>GLOBAL ENERGY REQUIREMENT (GER)</t>
  </si>
  <si>
    <t>GLOBAL WARMING POTENTIAL (GWP)</t>
  </si>
  <si>
    <t>GLOBAL ENERGY REQUIREMENT (GER) (MJ)</t>
  </si>
  <si>
    <r>
      <t>GLOBAL WARMING POTENTIAL (GWP) (kg CO</t>
    </r>
    <r>
      <rPr>
        <b/>
        <vertAlign val="subscript"/>
        <sz val="13"/>
        <color indexed="8"/>
        <rFont val="Arial Narrow"/>
        <family val="2"/>
      </rPr>
      <t>2eq</t>
    </r>
    <r>
      <rPr>
        <b/>
        <sz val="13"/>
        <color indexed="8"/>
        <rFont val="Arial Narrow"/>
        <family val="2"/>
      </rPr>
      <t>)</t>
    </r>
  </si>
  <si>
    <t>Worksheet number</t>
  </si>
  <si>
    <t>Go to the worksheet</t>
  </si>
  <si>
    <t>Heat rejection system (24 kW)</t>
  </si>
  <si>
    <t xml:space="preserve">Heat storage </t>
  </si>
  <si>
    <t xml:space="preserve">Gas boiler </t>
  </si>
  <si>
    <t>Pump</t>
  </si>
  <si>
    <t xml:space="preserve">Inverter </t>
  </si>
  <si>
    <t>Inverter</t>
  </si>
  <si>
    <t>Inverter (500 W)</t>
  </si>
  <si>
    <t>Inverter (2500 W)</t>
  </si>
  <si>
    <t>Energy Payback Time is defined as the time during which the SHC system must work to harvest as much primary energy as it requires for its manufacturing and end-of-life. The harvested energy is considered as net of the energy expenditure for the system use.</t>
  </si>
  <si>
    <t>GWP Payback Time is defined as the time during which the avoided GWP impact due to the use of the SHC system is equal to GWP impact caused during its manufacturing and end-of-life.</t>
  </si>
  <si>
    <t>kWh/year</t>
  </si>
  <si>
    <t>Disclaimer LCA method tool</t>
  </si>
  <si>
    <t xml:space="preserve">This License Agreement is a legal agreement for the LCA method tool. By installing, copying or otherwise using the LCA method tool, you agree to be bound by the terms of this Agreement. </t>
  </si>
  <si>
    <t xml:space="preserve">This calculator tool is not intended to provide specific advice or recommendations in any circumstances. It may not cover aspects of your particular situation and an investigation with different tools could produce a different result. </t>
  </si>
  <si>
    <r>
      <t>The Members of IEA Task 48 assumes no responsibility for any errors or omissions within the calculator tool. The Members of IEA Task 48 makes no representation or warranty of any kind whatsoever with respect to this calculator tool. Under no circumstances shall the Members of IEA Task 48 be held liable for any loss or damage (including any type of damage</t>
    </r>
    <r>
      <rPr>
        <sz val="12"/>
        <color indexed="8"/>
        <rFont val="Arial Narrow"/>
        <family val="2"/>
      </rPr>
      <t>), which may be attributable to the reliance on and use of the calculator tool.</t>
    </r>
  </si>
  <si>
    <r>
      <t>This License Agreement authorizes use of the calculator tool only for teaching and non-commercial research activity</t>
    </r>
    <r>
      <rPr>
        <sz val="12"/>
        <color indexed="8"/>
        <rFont val="Arial Narrow"/>
        <family val="2"/>
      </rPr>
      <t xml:space="preserve">. A research activity is considered non-commercial only if its results are not intended primarily for the benefit of a third party, are made available to anyone without restriction on use, copying, and further distribution, and are furnished at no more than the cost of reproduction and shipping.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</si>
</sst>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
    <numFmt numFmtId="166" formatCode="0.000"/>
    <numFmt numFmtId="167" formatCode="#,##0.0"/>
    <numFmt numFmtId="168" formatCode="#.##0.0"/>
    <numFmt numFmtId="169" formatCode="#.##0.00"/>
    <numFmt numFmtId="170" formatCode="#.##0"/>
    <numFmt numFmtId="171" formatCode="0.00000000"/>
    <numFmt numFmtId="172" formatCode="0.0000000"/>
    <numFmt numFmtId="173" formatCode="0.000000"/>
    <numFmt numFmtId="174" formatCode="0.00000"/>
    <numFmt numFmtId="175" formatCode="&quot;Sì&quot;;&quot;Sì&quot;;&quot;No&quot;"/>
    <numFmt numFmtId="176" formatCode="&quot;Vero&quot;;&quot;Vero&quot;;&quot;Falso&quot;"/>
    <numFmt numFmtId="177" formatCode="&quot;Attivo&quot;;&quot;Attivo&quot;;&quot;Disattivo&quot;"/>
    <numFmt numFmtId="178" formatCode="[$€-2]\ #.##000_);[Red]\([$€-2]\ #.##000\)"/>
    <numFmt numFmtId="179" formatCode="&quot;Attivo&quot;;&quot;Attivo&quot;;&quot;Inattivo&quot;"/>
  </numFmts>
  <fonts count="86">
    <font>
      <sz val="11"/>
      <color theme="1"/>
      <name val="Calibri"/>
      <family val="2"/>
    </font>
    <font>
      <sz val="11"/>
      <color indexed="8"/>
      <name val="Calibri"/>
      <family val="2"/>
    </font>
    <font>
      <sz val="12"/>
      <color indexed="8"/>
      <name val="Arial Narrow"/>
      <family val="2"/>
    </font>
    <font>
      <b/>
      <sz val="13"/>
      <color indexed="8"/>
      <name val="Arial Narrow"/>
      <family val="2"/>
    </font>
    <font>
      <sz val="9"/>
      <name val="Tahoma"/>
      <family val="2"/>
    </font>
    <font>
      <b/>
      <sz val="9"/>
      <name val="Tahoma"/>
      <family val="2"/>
    </font>
    <font>
      <sz val="11"/>
      <color indexed="8"/>
      <name val="Arial Narrow"/>
      <family val="2"/>
    </font>
    <font>
      <vertAlign val="subscript"/>
      <sz val="11"/>
      <color indexed="8"/>
      <name val="Arial Narrow"/>
      <family val="2"/>
    </font>
    <font>
      <vertAlign val="superscript"/>
      <sz val="12"/>
      <color indexed="8"/>
      <name val="Arial Narrow"/>
      <family val="2"/>
    </font>
    <font>
      <vertAlign val="subscript"/>
      <sz val="12"/>
      <color indexed="8"/>
      <name val="Arial Narrow"/>
      <family val="2"/>
    </font>
    <font>
      <b/>
      <vertAlign val="subscript"/>
      <sz val="13"/>
      <color indexed="8"/>
      <name val="Arial Narrow"/>
      <family val="2"/>
    </font>
    <font>
      <b/>
      <sz val="12"/>
      <color indexed="8"/>
      <name val="Arial Narrow"/>
      <family val="2"/>
    </font>
    <font>
      <b/>
      <vertAlign val="subscript"/>
      <sz val="12"/>
      <color indexed="8"/>
      <name val="Arial Narrow"/>
      <family val="2"/>
    </font>
    <font>
      <sz val="12"/>
      <name val="Arial"/>
      <family val="2"/>
    </font>
    <font>
      <b/>
      <u val="single"/>
      <sz val="12"/>
      <name val="Arial Narrow"/>
      <family val="2"/>
    </font>
    <font>
      <u val="single"/>
      <sz val="9"/>
      <name val="Tahoma"/>
      <family val="2"/>
    </font>
    <font>
      <b/>
      <u val="single"/>
      <sz val="13.2"/>
      <name val="Arial Narrow"/>
      <family val="2"/>
    </font>
    <font>
      <sz val="12"/>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3.2"/>
      <color indexed="12"/>
      <name val="Calibri"/>
      <family val="2"/>
    </font>
    <font>
      <u val="single"/>
      <sz val="13.2"/>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sz val="12"/>
      <color indexed="8"/>
      <name val="Times New Roman"/>
      <family val="1"/>
    </font>
    <font>
      <sz val="13"/>
      <color indexed="8"/>
      <name val="Arial Narrow"/>
      <family val="2"/>
    </font>
    <font>
      <b/>
      <sz val="12"/>
      <color indexed="8"/>
      <name val="Times New Roman"/>
      <family val="1"/>
    </font>
    <font>
      <b/>
      <sz val="11"/>
      <color indexed="8"/>
      <name val="Times New Roman"/>
      <family val="1"/>
    </font>
    <font>
      <sz val="12"/>
      <color indexed="10"/>
      <name val="Arial Narrow"/>
      <family val="2"/>
    </font>
    <font>
      <b/>
      <sz val="13"/>
      <color indexed="10"/>
      <name val="Arial Narrow"/>
      <family val="2"/>
    </font>
    <font>
      <b/>
      <sz val="14"/>
      <color indexed="8"/>
      <name val="Arial Narrow"/>
      <family val="2"/>
    </font>
    <font>
      <i/>
      <sz val="12"/>
      <color indexed="8"/>
      <name val="Arial Narrow"/>
      <family val="2"/>
    </font>
    <font>
      <i/>
      <sz val="11"/>
      <color indexed="8"/>
      <name val="Calibri"/>
      <family val="2"/>
    </font>
    <font>
      <sz val="8"/>
      <name val="Segoe UI"/>
      <family val="2"/>
    </font>
    <font>
      <b/>
      <sz val="14.4"/>
      <color indexed="8"/>
      <name val="Arial Narrow"/>
      <family val="2"/>
    </font>
    <font>
      <u val="single"/>
      <sz val="12"/>
      <color indexed="8"/>
      <name val="Arial Narrow"/>
      <family val="2"/>
    </font>
    <font>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3.2"/>
      <color theme="10"/>
      <name val="Calibri"/>
      <family val="2"/>
    </font>
    <font>
      <u val="single"/>
      <sz val="13.2"/>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sz val="12"/>
      <color theme="1"/>
      <name val="Times New Roman"/>
      <family val="1"/>
    </font>
    <font>
      <b/>
      <sz val="12"/>
      <color theme="1"/>
      <name val="Arial Narrow"/>
      <family val="2"/>
    </font>
    <font>
      <sz val="12"/>
      <color theme="1"/>
      <name val="Arial Narrow"/>
      <family val="2"/>
    </font>
    <font>
      <b/>
      <sz val="13"/>
      <color theme="1"/>
      <name val="Arial Narrow"/>
      <family val="2"/>
    </font>
    <font>
      <sz val="11"/>
      <color theme="1"/>
      <name val="Arial Narrow"/>
      <family val="2"/>
    </font>
    <font>
      <sz val="13"/>
      <color theme="1"/>
      <name val="Arial Narrow"/>
      <family val="2"/>
    </font>
    <font>
      <b/>
      <sz val="12"/>
      <color theme="1"/>
      <name val="Times New Roman"/>
      <family val="1"/>
    </font>
    <font>
      <b/>
      <sz val="11"/>
      <color theme="1"/>
      <name val="Times New Roman"/>
      <family val="1"/>
    </font>
    <font>
      <sz val="12"/>
      <color rgb="FFFF3300"/>
      <name val="Arial Narrow"/>
      <family val="2"/>
    </font>
    <font>
      <sz val="12"/>
      <color rgb="FFFF0000"/>
      <name val="Arial Narrow"/>
      <family val="2"/>
    </font>
    <font>
      <b/>
      <sz val="13"/>
      <color rgb="FFFF0000"/>
      <name val="Arial Narrow"/>
      <family val="2"/>
    </font>
    <font>
      <vertAlign val="subscript"/>
      <sz val="12"/>
      <color theme="1"/>
      <name val="Arial Narrow"/>
      <family val="2"/>
    </font>
    <font>
      <b/>
      <sz val="14"/>
      <color theme="1"/>
      <name val="Arial Narrow"/>
      <family val="2"/>
    </font>
    <font>
      <i/>
      <sz val="12"/>
      <color theme="1"/>
      <name val="Arial Narrow"/>
      <family val="2"/>
    </font>
    <font>
      <i/>
      <sz val="11"/>
      <color theme="1"/>
      <name val="Calibri"/>
      <family val="2"/>
    </font>
    <font>
      <u val="single"/>
      <sz val="12"/>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right/>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Font="1" applyAlignment="1">
      <alignment/>
    </xf>
    <xf numFmtId="0" fontId="68" fillId="0" borderId="0" xfId="0" applyFont="1" applyAlignment="1">
      <alignment/>
    </xf>
    <xf numFmtId="0" fontId="68" fillId="0" borderId="0" xfId="0" applyFont="1" applyAlignment="1">
      <alignment wrapText="1"/>
    </xf>
    <xf numFmtId="0" fontId="68" fillId="0" borderId="0" xfId="0" applyFont="1" applyBorder="1" applyAlignment="1">
      <alignment/>
    </xf>
    <xf numFmtId="2" fontId="68" fillId="0" borderId="0" xfId="0" applyNumberFormat="1" applyFont="1" applyBorder="1" applyAlignment="1">
      <alignment/>
    </xf>
    <xf numFmtId="0" fontId="68" fillId="0" borderId="0" xfId="0" applyFont="1" applyBorder="1" applyAlignment="1">
      <alignment horizontal="center" vertical="center"/>
    </xf>
    <xf numFmtId="2" fontId="68" fillId="0" borderId="0" xfId="0" applyNumberFormat="1" applyFont="1" applyBorder="1" applyAlignment="1">
      <alignment wrapText="1"/>
    </xf>
    <xf numFmtId="0" fontId="69" fillId="0" borderId="0" xfId="0" applyFont="1" applyBorder="1" applyAlignment="1">
      <alignment horizontal="left"/>
    </xf>
    <xf numFmtId="0" fontId="0" fillId="0" borderId="0" xfId="0" applyBorder="1" applyAlignment="1">
      <alignment/>
    </xf>
    <xf numFmtId="0" fontId="0" fillId="0" borderId="0" xfId="0" applyAlignment="1">
      <alignment wrapText="1"/>
    </xf>
    <xf numFmtId="0" fontId="0" fillId="33" borderId="0" xfId="0" applyFill="1" applyBorder="1" applyAlignment="1">
      <alignment/>
    </xf>
    <xf numFmtId="0" fontId="0" fillId="33" borderId="0" xfId="0" applyFill="1" applyBorder="1" applyAlignment="1">
      <alignment/>
    </xf>
    <xf numFmtId="0" fontId="0" fillId="33" borderId="0" xfId="0" applyFill="1" applyAlignment="1">
      <alignment/>
    </xf>
    <xf numFmtId="0" fontId="70" fillId="8" borderId="10" xfId="0" applyFont="1" applyFill="1" applyBorder="1" applyAlignment="1">
      <alignment horizontal="center"/>
    </xf>
    <xf numFmtId="0" fontId="71" fillId="2" borderId="11" xfId="0" applyFont="1" applyFill="1" applyBorder="1" applyAlignment="1">
      <alignment horizontal="center"/>
    </xf>
    <xf numFmtId="0" fontId="71" fillId="2" borderId="0" xfId="0" applyFont="1" applyFill="1" applyBorder="1" applyAlignment="1">
      <alignment horizontal="center"/>
    </xf>
    <xf numFmtId="0" fontId="71" fillId="2" borderId="12" xfId="0" applyFont="1" applyFill="1" applyBorder="1" applyAlignment="1">
      <alignment horizontal="center"/>
    </xf>
    <xf numFmtId="0" fontId="72" fillId="8" borderId="10" xfId="0" applyFont="1" applyFill="1" applyBorder="1" applyAlignment="1">
      <alignment horizontal="center"/>
    </xf>
    <xf numFmtId="0" fontId="68" fillId="0" borderId="0" xfId="0" applyFont="1" applyFill="1" applyAlignment="1">
      <alignment/>
    </xf>
    <xf numFmtId="0" fontId="68" fillId="0" borderId="0" xfId="0" applyFont="1" applyFill="1" applyAlignment="1">
      <alignment wrapText="1"/>
    </xf>
    <xf numFmtId="0" fontId="71" fillId="0" borderId="0" xfId="0" applyFont="1" applyFill="1" applyBorder="1" applyAlignment="1">
      <alignment horizontal="left"/>
    </xf>
    <xf numFmtId="0" fontId="73" fillId="0" borderId="0" xfId="0" applyFont="1" applyFill="1" applyBorder="1" applyAlignment="1">
      <alignment/>
    </xf>
    <xf numFmtId="2" fontId="73" fillId="0" borderId="0" xfId="0" applyNumberFormat="1" applyFont="1" applyFill="1" applyBorder="1" applyAlignment="1">
      <alignment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1" fillId="4" borderId="0" xfId="0" applyFont="1" applyFill="1" applyBorder="1" applyAlignment="1">
      <alignment horizontal="center" vertical="center" wrapText="1"/>
    </xf>
    <xf numFmtId="0" fontId="72" fillId="34" borderId="10" xfId="0" applyFont="1" applyFill="1" applyBorder="1" applyAlignment="1">
      <alignment horizontal="center"/>
    </xf>
    <xf numFmtId="0" fontId="71" fillId="34" borderId="11"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69" fillId="33" borderId="0" xfId="0" applyFont="1" applyFill="1" applyBorder="1" applyAlignment="1">
      <alignment horizontal="left"/>
    </xf>
    <xf numFmtId="0" fontId="71" fillId="34" borderId="11" xfId="0" applyFont="1" applyFill="1" applyBorder="1" applyAlignment="1">
      <alignment horizontal="center"/>
    </xf>
    <xf numFmtId="0" fontId="71" fillId="34" borderId="0" xfId="0" applyFont="1" applyFill="1" applyBorder="1" applyAlignment="1">
      <alignment horizontal="center"/>
    </xf>
    <xf numFmtId="0" fontId="71" fillId="34" borderId="12" xfId="0" applyFont="1" applyFill="1" applyBorder="1" applyAlignment="1">
      <alignment horizontal="center"/>
    </xf>
    <xf numFmtId="2" fontId="71" fillId="0" borderId="0" xfId="0" applyNumberFormat="1" applyFont="1" applyBorder="1" applyAlignment="1">
      <alignment horizontal="left"/>
    </xf>
    <xf numFmtId="0" fontId="71" fillId="0" borderId="0" xfId="0" applyFont="1" applyBorder="1" applyAlignment="1">
      <alignment horizontal="left"/>
    </xf>
    <xf numFmtId="0" fontId="71" fillId="0" borderId="0" xfId="0" applyFont="1" applyAlignment="1">
      <alignment horizontal="left"/>
    </xf>
    <xf numFmtId="0" fontId="72" fillId="8" borderId="12" xfId="0" applyFont="1" applyFill="1" applyBorder="1" applyAlignment="1">
      <alignment horizontal="center"/>
    </xf>
    <xf numFmtId="0" fontId="72" fillId="10" borderId="12" xfId="0" applyFont="1" applyFill="1" applyBorder="1" applyAlignment="1">
      <alignment horizontal="center"/>
    </xf>
    <xf numFmtId="2" fontId="71" fillId="2" borderId="0" xfId="0" applyNumberFormat="1" applyFont="1" applyFill="1" applyBorder="1" applyAlignment="1">
      <alignment horizontal="center" wrapText="1"/>
    </xf>
    <xf numFmtId="0" fontId="74" fillId="8" borderId="10" xfId="0" applyFont="1" applyFill="1" applyBorder="1" applyAlignment="1">
      <alignment horizontal="left" vertical="center"/>
    </xf>
    <xf numFmtId="0" fontId="72" fillId="8" borderId="12" xfId="0" applyFont="1" applyFill="1" applyBorder="1" applyAlignment="1">
      <alignment horizontal="center" vertical="center"/>
    </xf>
    <xf numFmtId="0" fontId="72" fillId="8" borderId="12" xfId="0" applyFont="1" applyFill="1" applyBorder="1" applyAlignment="1">
      <alignment horizontal="center" vertical="center" wrapText="1"/>
    </xf>
    <xf numFmtId="0" fontId="71" fillId="2" borderId="0" xfId="0" applyFont="1" applyFill="1" applyBorder="1" applyAlignment="1">
      <alignment horizontal="center" vertical="center"/>
    </xf>
    <xf numFmtId="0" fontId="73" fillId="2" borderId="12" xfId="0" applyFont="1" applyFill="1" applyBorder="1" applyAlignment="1">
      <alignment horizontal="center" vertical="center"/>
    </xf>
    <xf numFmtId="0" fontId="69" fillId="8" borderId="10" xfId="0" applyFont="1" applyFill="1" applyBorder="1" applyAlignment="1">
      <alignment horizontal="left" vertical="center"/>
    </xf>
    <xf numFmtId="0" fontId="75" fillId="8" borderId="12" xfId="0" applyFont="1" applyFill="1" applyBorder="1" applyAlignment="1">
      <alignment horizontal="center" vertical="center"/>
    </xf>
    <xf numFmtId="0" fontId="75" fillId="10" borderId="12" xfId="0" applyFont="1" applyFill="1" applyBorder="1" applyAlignment="1">
      <alignment horizontal="center" vertical="center"/>
    </xf>
    <xf numFmtId="0" fontId="75" fillId="10" borderId="12" xfId="0" applyFont="1" applyFill="1" applyBorder="1" applyAlignment="1">
      <alignment horizontal="center" vertical="center" wrapText="1"/>
    </xf>
    <xf numFmtId="0" fontId="0" fillId="0" borderId="0" xfId="0" applyBorder="1" applyAlignment="1">
      <alignment vertical="center"/>
    </xf>
    <xf numFmtId="0" fontId="75" fillId="8" borderId="12" xfId="0" applyFont="1" applyFill="1" applyBorder="1" applyAlignment="1">
      <alignment horizontal="center" vertical="center" wrapText="1"/>
    </xf>
    <xf numFmtId="0" fontId="72" fillId="10" borderId="12" xfId="0" applyFont="1" applyFill="1" applyBorder="1" applyAlignment="1">
      <alignment horizontal="center" vertical="center" wrapText="1"/>
    </xf>
    <xf numFmtId="0" fontId="73" fillId="4" borderId="12" xfId="0" applyFont="1" applyFill="1" applyBorder="1" applyAlignment="1">
      <alignment horizontal="center" vertical="center"/>
    </xf>
    <xf numFmtId="0" fontId="69"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76" fillId="0" borderId="0" xfId="0" applyFont="1" applyBorder="1" applyAlignment="1">
      <alignment horizontal="right"/>
    </xf>
    <xf numFmtId="0" fontId="70" fillId="8" borderId="10" xfId="0" applyFont="1" applyFill="1" applyBorder="1" applyAlignment="1">
      <alignment horizontal="center" vertical="center" wrapText="1"/>
    </xf>
    <xf numFmtId="2" fontId="70" fillId="10" borderId="10" xfId="0" applyNumberFormat="1" applyFont="1" applyFill="1" applyBorder="1" applyAlignment="1">
      <alignment horizontal="center" wrapText="1"/>
    </xf>
    <xf numFmtId="2" fontId="70" fillId="8" borderId="10" xfId="0" applyNumberFormat="1" applyFont="1" applyFill="1" applyBorder="1" applyAlignment="1">
      <alignment horizontal="center" wrapText="1"/>
    </xf>
    <xf numFmtId="2" fontId="71" fillId="4" borderId="0" xfId="0" applyNumberFormat="1" applyFont="1" applyFill="1" applyBorder="1" applyAlignment="1">
      <alignment horizontal="center" wrapText="1"/>
    </xf>
    <xf numFmtId="2" fontId="71" fillId="4" borderId="12" xfId="0" applyNumberFormat="1" applyFont="1" applyFill="1" applyBorder="1" applyAlignment="1">
      <alignment horizontal="center" wrapText="1"/>
    </xf>
    <xf numFmtId="2" fontId="71" fillId="2" borderId="12" xfId="0" applyNumberFormat="1" applyFont="1" applyFill="1" applyBorder="1" applyAlignment="1">
      <alignment horizontal="center" wrapText="1"/>
    </xf>
    <xf numFmtId="0" fontId="72" fillId="2" borderId="0" xfId="0" applyFont="1" applyFill="1" applyBorder="1" applyAlignment="1">
      <alignment horizontal="center" vertical="center" wrapText="1"/>
    </xf>
    <xf numFmtId="2" fontId="71" fillId="4" borderId="0" xfId="0" applyNumberFormat="1" applyFont="1" applyFill="1" applyBorder="1" applyAlignment="1">
      <alignment horizontal="center" vertical="center" wrapText="1"/>
    </xf>
    <xf numFmtId="0" fontId="71" fillId="0" borderId="0" xfId="0" applyFont="1" applyAlignment="1">
      <alignment horizontal="center"/>
    </xf>
    <xf numFmtId="0" fontId="71" fillId="2" borderId="13" xfId="0" applyFont="1" applyFill="1" applyBorder="1" applyAlignment="1">
      <alignment horizontal="center"/>
    </xf>
    <xf numFmtId="0" fontId="71" fillId="2" borderId="14" xfId="0" applyFont="1" applyFill="1" applyBorder="1" applyAlignment="1">
      <alignment horizontal="center"/>
    </xf>
    <xf numFmtId="2" fontId="71" fillId="2" borderId="0" xfId="0" applyNumberFormat="1" applyFont="1" applyFill="1" applyBorder="1" applyAlignment="1">
      <alignment horizontal="center"/>
    </xf>
    <xf numFmtId="0" fontId="71" fillId="2" borderId="15" xfId="0" applyFont="1" applyFill="1" applyBorder="1" applyAlignment="1">
      <alignment horizontal="center"/>
    </xf>
    <xf numFmtId="0" fontId="71" fillId="2" borderId="16" xfId="0" applyFont="1" applyFill="1" applyBorder="1" applyAlignment="1">
      <alignment horizontal="center"/>
    </xf>
    <xf numFmtId="0" fontId="71" fillId="2" borderId="17" xfId="0" applyFont="1" applyFill="1" applyBorder="1" applyAlignment="1">
      <alignment horizontal="center"/>
    </xf>
    <xf numFmtId="0" fontId="71" fillId="4" borderId="0" xfId="0" applyFont="1" applyFill="1" applyAlignment="1">
      <alignment horizontal="center"/>
    </xf>
    <xf numFmtId="0" fontId="71" fillId="2" borderId="0" xfId="0" applyFont="1" applyFill="1" applyAlignment="1">
      <alignment horizontal="center"/>
    </xf>
    <xf numFmtId="0" fontId="77" fillId="0" borderId="0" xfId="0" applyFont="1" applyBorder="1" applyAlignment="1">
      <alignment horizontal="center"/>
    </xf>
    <xf numFmtId="0" fontId="72" fillId="10" borderId="12" xfId="0" applyFont="1" applyFill="1" applyBorder="1" applyAlignment="1">
      <alignment horizontal="center" vertical="center"/>
    </xf>
    <xf numFmtId="2" fontId="71" fillId="4" borderId="0" xfId="0" applyNumberFormat="1" applyFont="1" applyFill="1" applyBorder="1" applyAlignment="1">
      <alignment horizontal="center" vertical="center"/>
    </xf>
    <xf numFmtId="0" fontId="71" fillId="4" borderId="0" xfId="0" applyFont="1" applyFill="1" applyBorder="1" applyAlignment="1">
      <alignment horizontal="center" vertical="center"/>
    </xf>
    <xf numFmtId="0" fontId="72" fillId="4" borderId="0" xfId="0" applyFont="1" applyFill="1" applyBorder="1" applyAlignment="1">
      <alignment horizontal="center" vertical="center" wrapText="1"/>
    </xf>
    <xf numFmtId="0" fontId="71" fillId="4" borderId="12" xfId="0" applyFont="1" applyFill="1" applyBorder="1" applyAlignment="1">
      <alignment horizontal="center" vertical="center" wrapText="1"/>
    </xf>
    <xf numFmtId="166" fontId="71" fillId="2" borderId="16" xfId="0" applyNumberFormat="1" applyFont="1" applyFill="1" applyBorder="1" applyAlignment="1">
      <alignment horizontal="center"/>
    </xf>
    <xf numFmtId="20" fontId="75" fillId="8" borderId="10" xfId="0" applyNumberFormat="1" applyFont="1" applyFill="1" applyBorder="1" applyAlignment="1">
      <alignment horizontal="center"/>
    </xf>
    <xf numFmtId="0" fontId="70" fillId="19" borderId="0" xfId="0" applyFont="1" applyFill="1" applyBorder="1" applyAlignment="1">
      <alignment horizontal="center"/>
    </xf>
    <xf numFmtId="0" fontId="70" fillId="16" borderId="0" xfId="0" applyFont="1" applyFill="1" applyBorder="1" applyAlignment="1">
      <alignment horizontal="center"/>
    </xf>
    <xf numFmtId="0" fontId="70" fillId="16" borderId="12" xfId="0" applyFont="1" applyFill="1" applyBorder="1" applyAlignment="1">
      <alignment horizontal="center"/>
    </xf>
    <xf numFmtId="0" fontId="13" fillId="0" borderId="0" xfId="0" applyFont="1" applyAlignment="1">
      <alignment/>
    </xf>
    <xf numFmtId="0" fontId="13" fillId="35" borderId="18" xfId="0" applyFont="1" applyFill="1" applyBorder="1" applyAlignment="1">
      <alignment/>
    </xf>
    <xf numFmtId="0" fontId="13" fillId="0" borderId="0" xfId="0" applyFont="1" applyAlignment="1">
      <alignment horizontal="center"/>
    </xf>
    <xf numFmtId="0" fontId="70" fillId="34" borderId="11" xfId="0" applyFont="1" applyFill="1" applyBorder="1" applyAlignment="1">
      <alignment horizontal="center"/>
    </xf>
    <xf numFmtId="0" fontId="70" fillId="34" borderId="0" xfId="0" applyFont="1" applyFill="1" applyBorder="1" applyAlignment="1">
      <alignment horizontal="center"/>
    </xf>
    <xf numFmtId="0" fontId="13" fillId="19" borderId="18" xfId="0" applyFont="1" applyFill="1" applyBorder="1" applyAlignment="1">
      <alignment/>
    </xf>
    <xf numFmtId="0" fontId="13" fillId="16" borderId="18" xfId="0" applyFont="1" applyFill="1" applyBorder="1" applyAlignment="1">
      <alignment/>
    </xf>
    <xf numFmtId="2" fontId="71" fillId="2" borderId="11" xfId="0" applyNumberFormat="1" applyFont="1" applyFill="1" applyBorder="1" applyAlignment="1">
      <alignment horizontal="center"/>
    </xf>
    <xf numFmtId="2" fontId="71" fillId="2" borderId="12" xfId="0" applyNumberFormat="1" applyFont="1" applyFill="1" applyBorder="1" applyAlignment="1">
      <alignment horizontal="center"/>
    </xf>
    <xf numFmtId="2" fontId="71" fillId="4" borderId="11" xfId="0" applyNumberFormat="1" applyFont="1" applyFill="1" applyBorder="1" applyAlignment="1">
      <alignment horizontal="center"/>
    </xf>
    <xf numFmtId="2" fontId="71" fillId="4" borderId="12" xfId="0" applyNumberFormat="1" applyFont="1" applyFill="1" applyBorder="1" applyAlignment="1">
      <alignment horizontal="center"/>
    </xf>
    <xf numFmtId="0" fontId="70" fillId="2" borderId="11" xfId="0" applyFont="1" applyFill="1" applyBorder="1" applyAlignment="1">
      <alignment horizontal="center"/>
    </xf>
    <xf numFmtId="0" fontId="70" fillId="2" borderId="12" xfId="0" applyFont="1" applyFill="1" applyBorder="1" applyAlignment="1">
      <alignment horizontal="center"/>
    </xf>
    <xf numFmtId="0" fontId="14" fillId="34" borderId="0" xfId="36" applyFont="1" applyFill="1" applyBorder="1" applyAlignment="1" applyProtection="1">
      <alignment horizontal="center"/>
      <protection/>
    </xf>
    <xf numFmtId="0" fontId="14" fillId="19" borderId="0" xfId="36" applyFont="1" applyFill="1" applyBorder="1" applyAlignment="1" applyProtection="1">
      <alignment horizontal="center"/>
      <protection/>
    </xf>
    <xf numFmtId="0" fontId="14" fillId="16" borderId="0" xfId="36" applyFont="1" applyFill="1" applyBorder="1" applyAlignment="1" applyProtection="1">
      <alignment horizontal="center"/>
      <protection/>
    </xf>
    <xf numFmtId="0" fontId="14" fillId="16" borderId="12" xfId="36" applyFont="1" applyFill="1" applyBorder="1" applyAlignment="1" applyProtection="1">
      <alignment horizontal="center"/>
      <protection/>
    </xf>
    <xf numFmtId="0" fontId="16" fillId="36" borderId="19" xfId="36" applyFont="1" applyFill="1" applyBorder="1" applyAlignment="1" applyProtection="1">
      <alignment horizontal="center"/>
      <protection/>
    </xf>
    <xf numFmtId="0" fontId="0" fillId="0" borderId="0" xfId="0" applyAlignment="1">
      <alignment wrapText="1"/>
    </xf>
    <xf numFmtId="0" fontId="0" fillId="0" borderId="12" xfId="0" applyBorder="1" applyAlignment="1">
      <alignment/>
    </xf>
    <xf numFmtId="0" fontId="70" fillId="34" borderId="12" xfId="0" applyFont="1" applyFill="1" applyBorder="1" applyAlignment="1">
      <alignment horizontal="center"/>
    </xf>
    <xf numFmtId="0" fontId="9" fillId="2" borderId="0" xfId="0" applyFont="1" applyFill="1" applyAlignment="1">
      <alignment horizontal="center" vertical="center" wrapText="1"/>
    </xf>
    <xf numFmtId="166" fontId="78" fillId="2" borderId="0" xfId="0" applyNumberFormat="1" applyFont="1" applyFill="1" applyBorder="1" applyAlignment="1">
      <alignment horizontal="center" vertical="center" wrapText="1"/>
    </xf>
    <xf numFmtId="2" fontId="78" fillId="4" borderId="0" xfId="0" applyNumberFormat="1" applyFont="1" applyFill="1" applyBorder="1" applyAlignment="1">
      <alignment horizontal="center" vertical="center" wrapText="1"/>
    </xf>
    <xf numFmtId="0" fontId="72" fillId="2" borderId="11" xfId="0" applyFont="1" applyFill="1" applyBorder="1" applyAlignment="1">
      <alignment horizontal="center" vertical="center" wrapText="1"/>
    </xf>
    <xf numFmtId="2" fontId="71" fillId="4" borderId="11" xfId="0" applyNumberFormat="1" applyFont="1" applyFill="1" applyBorder="1" applyAlignment="1">
      <alignment horizontal="center" vertical="center" wrapText="1"/>
    </xf>
    <xf numFmtId="0" fontId="72"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9" fillId="2" borderId="11" xfId="0" applyFont="1" applyFill="1" applyBorder="1" applyAlignment="1">
      <alignment horizontal="center" vertical="center" wrapText="1"/>
    </xf>
    <xf numFmtId="2" fontId="78" fillId="4" borderId="11" xfId="0" applyNumberFormat="1" applyFont="1" applyFill="1" applyBorder="1" applyAlignment="1">
      <alignment horizontal="center" vertical="center" wrapText="1"/>
    </xf>
    <xf numFmtId="2" fontId="71" fillId="2" borderId="0" xfId="0" applyNumberFormat="1" applyFont="1" applyFill="1" applyAlignment="1">
      <alignment horizontal="center" wrapText="1"/>
    </xf>
    <xf numFmtId="0" fontId="71" fillId="4" borderId="0" xfId="0" applyFont="1" applyFill="1" applyBorder="1" applyAlignment="1">
      <alignment horizontal="center"/>
    </xf>
    <xf numFmtId="0" fontId="71" fillId="4" borderId="12" xfId="0" applyFont="1" applyFill="1" applyBorder="1" applyAlignment="1">
      <alignment horizontal="center"/>
    </xf>
    <xf numFmtId="0" fontId="68" fillId="10" borderId="10" xfId="0" applyFont="1" applyFill="1" applyBorder="1" applyAlignment="1">
      <alignment/>
    </xf>
    <xf numFmtId="0" fontId="68" fillId="4" borderId="11" xfId="0" applyFont="1" applyFill="1" applyBorder="1" applyAlignment="1">
      <alignment/>
    </xf>
    <xf numFmtId="0" fontId="68" fillId="4" borderId="0" xfId="0" applyFont="1" applyFill="1" applyBorder="1" applyAlignment="1">
      <alignment/>
    </xf>
    <xf numFmtId="0" fontId="68" fillId="4" borderId="12" xfId="0" applyFont="1" applyFill="1" applyBorder="1" applyAlignment="1">
      <alignment/>
    </xf>
    <xf numFmtId="0" fontId="68" fillId="2" borderId="11" xfId="0" applyFont="1" applyFill="1" applyBorder="1" applyAlignment="1">
      <alignment/>
    </xf>
    <xf numFmtId="0" fontId="68" fillId="2" borderId="0" xfId="0" applyFont="1" applyFill="1" applyBorder="1" applyAlignment="1">
      <alignment/>
    </xf>
    <xf numFmtId="0" fontId="68" fillId="2" borderId="12" xfId="0" applyFont="1" applyFill="1" applyBorder="1" applyAlignment="1">
      <alignment/>
    </xf>
    <xf numFmtId="0" fontId="0" fillId="4" borderId="0" xfId="0" applyFill="1" applyAlignment="1">
      <alignment horizontal="center"/>
    </xf>
    <xf numFmtId="0" fontId="0" fillId="2" borderId="0" xfId="0" applyFill="1" applyAlignment="1">
      <alignment horizontal="center"/>
    </xf>
    <xf numFmtId="0" fontId="72" fillId="8" borderId="10" xfId="0" applyFont="1" applyFill="1" applyBorder="1" applyAlignment="1">
      <alignment horizontal="center" vertical="center"/>
    </xf>
    <xf numFmtId="0" fontId="70" fillId="10" borderId="10" xfId="0" applyFont="1" applyFill="1" applyBorder="1" applyAlignment="1">
      <alignment horizontal="center"/>
    </xf>
    <xf numFmtId="0" fontId="70" fillId="8" borderId="10" xfId="0" applyFont="1" applyFill="1" applyBorder="1" applyAlignment="1">
      <alignment horizontal="center" vertical="center"/>
    </xf>
    <xf numFmtId="0" fontId="0" fillId="0" borderId="0" xfId="0" applyAlignment="1">
      <alignment horizontal="center"/>
    </xf>
    <xf numFmtId="0" fontId="71" fillId="4" borderId="11" xfId="0" applyFont="1" applyFill="1" applyBorder="1" applyAlignment="1">
      <alignment horizontal="center"/>
    </xf>
    <xf numFmtId="0" fontId="17" fillId="4" borderId="11" xfId="0" applyFont="1" applyFill="1" applyBorder="1" applyAlignment="1">
      <alignment horizontal="center"/>
    </xf>
    <xf numFmtId="0" fontId="17" fillId="2" borderId="11" xfId="0" applyFont="1" applyFill="1" applyBorder="1" applyAlignment="1">
      <alignment horizontal="center"/>
    </xf>
    <xf numFmtId="0" fontId="17" fillId="4" borderId="0" xfId="0" applyFont="1" applyFill="1" applyBorder="1" applyAlignment="1">
      <alignment horizontal="center"/>
    </xf>
    <xf numFmtId="0" fontId="17" fillId="2" borderId="0" xfId="0" applyFont="1" applyFill="1" applyBorder="1" applyAlignment="1">
      <alignment horizontal="center"/>
    </xf>
    <xf numFmtId="0" fontId="17" fillId="4" borderId="12" xfId="0" applyFont="1" applyFill="1" applyBorder="1" applyAlignment="1">
      <alignment horizontal="center"/>
    </xf>
    <xf numFmtId="0" fontId="17" fillId="2" borderId="12" xfId="0" applyFont="1" applyFill="1" applyBorder="1" applyAlignment="1">
      <alignment horizontal="center"/>
    </xf>
    <xf numFmtId="2" fontId="71" fillId="4" borderId="12" xfId="0" applyNumberFormat="1" applyFont="1" applyFill="1" applyBorder="1" applyAlignment="1">
      <alignment horizontal="center" vertical="center" wrapText="1"/>
    </xf>
    <xf numFmtId="166" fontId="71" fillId="2" borderId="0" xfId="0" applyNumberFormat="1" applyFont="1" applyFill="1" applyBorder="1" applyAlignment="1">
      <alignment horizontal="center" vertical="center" wrapText="1"/>
    </xf>
    <xf numFmtId="166" fontId="71" fillId="2" borderId="12"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xf>
    <xf numFmtId="2" fontId="71" fillId="2" borderId="11" xfId="0" applyNumberFormat="1" applyFont="1" applyFill="1" applyBorder="1" applyAlignment="1">
      <alignment horizontal="center" vertical="center" wrapText="1"/>
    </xf>
    <xf numFmtId="166" fontId="71" fillId="4" borderId="12" xfId="0" applyNumberFormat="1" applyFont="1" applyFill="1" applyBorder="1" applyAlignment="1">
      <alignment horizontal="center" vertical="center"/>
    </xf>
    <xf numFmtId="0" fontId="71" fillId="4" borderId="0" xfId="0" applyNumberFormat="1" applyFont="1" applyFill="1" applyBorder="1" applyAlignment="1">
      <alignment horizontal="center" vertical="center" wrapText="1"/>
    </xf>
    <xf numFmtId="11" fontId="71" fillId="2" borderId="12" xfId="0" applyNumberFormat="1" applyFont="1" applyFill="1" applyBorder="1" applyAlignment="1">
      <alignment horizontal="center" vertical="center"/>
    </xf>
    <xf numFmtId="1" fontId="71" fillId="4" borderId="12" xfId="0" applyNumberFormat="1" applyFont="1" applyFill="1" applyBorder="1" applyAlignment="1">
      <alignment horizontal="center" vertical="center"/>
    </xf>
    <xf numFmtId="1" fontId="71" fillId="4" borderId="0" xfId="0" applyNumberFormat="1" applyFont="1" applyFill="1" applyBorder="1" applyAlignment="1">
      <alignment horizontal="center" vertical="center" wrapText="1"/>
    </xf>
    <xf numFmtId="1" fontId="71" fillId="2" borderId="0" xfId="0" applyNumberFormat="1" applyFont="1" applyFill="1" applyBorder="1" applyAlignment="1">
      <alignment horizontal="center" vertical="center" wrapText="1"/>
    </xf>
    <xf numFmtId="1" fontId="71" fillId="2" borderId="12" xfId="0" applyNumberFormat="1" applyFont="1" applyFill="1" applyBorder="1" applyAlignment="1">
      <alignment horizontal="center" vertical="center"/>
    </xf>
    <xf numFmtId="0" fontId="80" fillId="2" borderId="0" xfId="0" applyFont="1" applyFill="1" applyBorder="1" applyAlignment="1">
      <alignment horizontal="center" vertical="center" wrapText="1"/>
    </xf>
    <xf numFmtId="2" fontId="71" fillId="4" borderId="12" xfId="0" applyNumberFormat="1" applyFont="1" applyFill="1" applyBorder="1" applyAlignment="1">
      <alignment horizontal="center" vertical="center"/>
    </xf>
    <xf numFmtId="2" fontId="71" fillId="2" borderId="12" xfId="0" applyNumberFormat="1" applyFont="1" applyFill="1" applyBorder="1" applyAlignment="1">
      <alignment horizontal="center" vertical="center"/>
    </xf>
    <xf numFmtId="0" fontId="9" fillId="2" borderId="12" xfId="0" applyFont="1" applyFill="1" applyBorder="1" applyAlignment="1">
      <alignment horizontal="center" vertical="center" wrapText="1"/>
    </xf>
    <xf numFmtId="2" fontId="71" fillId="0" borderId="12" xfId="0" applyNumberFormat="1" applyFont="1" applyFill="1" applyBorder="1" applyAlignment="1">
      <alignment horizontal="center" vertical="center" wrapText="1"/>
    </xf>
    <xf numFmtId="2" fontId="68" fillId="0" borderId="0" xfId="0" applyNumberFormat="1" applyFont="1" applyAlignment="1">
      <alignment wrapText="1"/>
    </xf>
    <xf numFmtId="0" fontId="71" fillId="0" borderId="0" xfId="0" applyFont="1" applyFill="1" applyBorder="1" applyAlignment="1">
      <alignment horizontal="center" vertical="center" wrapText="1"/>
    </xf>
    <xf numFmtId="0" fontId="71" fillId="34" borderId="12" xfId="0" applyFont="1" applyFill="1" applyBorder="1" applyAlignment="1">
      <alignment horizontal="center" vertical="center" wrapText="1"/>
    </xf>
    <xf numFmtId="0" fontId="70" fillId="34" borderId="10" xfId="0" applyFont="1" applyFill="1" applyBorder="1" applyAlignment="1">
      <alignment horizontal="center"/>
    </xf>
    <xf numFmtId="0" fontId="0" fillId="0" borderId="0" xfId="0" applyAlignment="1">
      <alignment wrapText="1"/>
    </xf>
    <xf numFmtId="0" fontId="70"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68" fillId="0" borderId="0" xfId="0" applyFont="1" applyBorder="1" applyAlignment="1">
      <alignment wrapText="1"/>
    </xf>
    <xf numFmtId="0" fontId="72" fillId="10" borderId="10"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4" fillId="8" borderId="10" xfId="0" applyFont="1" applyFill="1" applyBorder="1" applyAlignment="1">
      <alignment horizontal="center" vertical="center" wrapText="1"/>
    </xf>
    <xf numFmtId="0" fontId="81" fillId="36" borderId="10" xfId="0" applyFont="1" applyFill="1" applyBorder="1" applyAlignment="1">
      <alignment horizontal="center"/>
    </xf>
    <xf numFmtId="0" fontId="72" fillId="8" borderId="11" xfId="0" applyFont="1" applyFill="1" applyBorder="1" applyAlignment="1">
      <alignment horizontal="center" vertical="center" wrapText="1"/>
    </xf>
    <xf numFmtId="0" fontId="73" fillId="0" borderId="12" xfId="0" applyFont="1" applyBorder="1" applyAlignment="1">
      <alignment vertical="center" wrapText="1"/>
    </xf>
    <xf numFmtId="0" fontId="72" fillId="10" borderId="11" xfId="0" applyFont="1" applyFill="1" applyBorder="1" applyAlignment="1">
      <alignment horizontal="center" wrapText="1"/>
    </xf>
    <xf numFmtId="0" fontId="0" fillId="0" borderId="11" xfId="0" applyBorder="1" applyAlignment="1">
      <alignment horizontal="center" wrapText="1"/>
    </xf>
    <xf numFmtId="0" fontId="72" fillId="8" borderId="11" xfId="0" applyFont="1" applyFill="1" applyBorder="1" applyAlignment="1">
      <alignment horizontal="center" wrapText="1"/>
    </xf>
    <xf numFmtId="0" fontId="0" fillId="0" borderId="11" xfId="0" applyBorder="1" applyAlignment="1">
      <alignment wrapText="1"/>
    </xf>
    <xf numFmtId="0" fontId="70" fillId="8" borderId="11" xfId="0" applyFont="1" applyFill="1" applyBorder="1" applyAlignment="1">
      <alignment horizontal="center" vertical="center" wrapText="1"/>
    </xf>
    <xf numFmtId="0" fontId="70" fillId="8" borderId="12"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2" fillId="8" borderId="26" xfId="0" applyFont="1" applyFill="1" applyBorder="1" applyAlignment="1">
      <alignment horizontal="center" vertical="center" wrapText="1"/>
    </xf>
    <xf numFmtId="0" fontId="83" fillId="0" borderId="1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4" xfId="0" applyFont="1"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83" fillId="0" borderId="28"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29" xfId="0" applyFont="1" applyBorder="1" applyAlignment="1">
      <alignment horizontal="center" vertical="center" wrapText="1"/>
    </xf>
    <xf numFmtId="0" fontId="70" fillId="0" borderId="23" xfId="0" applyFont="1" applyBorder="1" applyAlignment="1">
      <alignment horizontal="justify" vertical="center"/>
    </xf>
    <xf numFmtId="0" fontId="73" fillId="0" borderId="24" xfId="0" applyFont="1" applyBorder="1" applyAlignment="1">
      <alignment/>
    </xf>
    <xf numFmtId="0" fontId="73" fillId="0" borderId="25" xfId="0" applyFont="1" applyBorder="1" applyAlignment="1">
      <alignment/>
    </xf>
    <xf numFmtId="0" fontId="71" fillId="0" borderId="13" xfId="0" applyFont="1" applyBorder="1" applyAlignment="1">
      <alignment horizontal="justify" vertical="center" wrapText="1"/>
    </xf>
    <xf numFmtId="0" fontId="73" fillId="0" borderId="0" xfId="0" applyFont="1" applyBorder="1" applyAlignment="1">
      <alignment wrapText="1"/>
    </xf>
    <xf numFmtId="0" fontId="73" fillId="0" borderId="14" xfId="0" applyFont="1" applyBorder="1" applyAlignment="1">
      <alignment wrapText="1"/>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1" fillId="0" borderId="13" xfId="0" applyFont="1" applyBorder="1" applyAlignment="1">
      <alignment horizontal="justify" vertical="center"/>
    </xf>
    <xf numFmtId="0" fontId="84" fillId="0" borderId="13" xfId="0" applyFont="1" applyBorder="1" applyAlignment="1">
      <alignment horizontal="justify" vertical="center" wrapText="1"/>
    </xf>
    <xf numFmtId="0" fontId="73" fillId="0" borderId="15" xfId="0" applyFont="1" applyBorder="1" applyAlignment="1">
      <alignment/>
    </xf>
    <xf numFmtId="0" fontId="73" fillId="0" borderId="16" xfId="0" applyFont="1" applyBorder="1" applyAlignment="1">
      <alignment/>
    </xf>
    <xf numFmtId="0" fontId="73" fillId="0" borderId="17"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175"/>
          <c:y val="-0.01575"/>
        </c:manualLayout>
      </c:layout>
      <c:spPr>
        <a:noFill/>
        <a:ln w="3175">
          <a:noFill/>
        </a:ln>
      </c:spPr>
    </c:title>
    <c:plotArea>
      <c:layout>
        <c:manualLayout>
          <c:xMode val="edge"/>
          <c:yMode val="edge"/>
          <c:x val="0.2815"/>
          <c:y val="0.199"/>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system'!$C$13:$C$27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25"/>
          <c:y val="0.028"/>
        </c:manualLayout>
      </c:layout>
      <c:spPr>
        <a:noFill/>
        <a:ln w="3175">
          <a:noFill/>
        </a:ln>
      </c:spPr>
    </c:title>
    <c:plotArea>
      <c:layout>
        <c:manualLayout>
          <c:xMode val="edge"/>
          <c:yMode val="edge"/>
          <c:x val="0.14475"/>
          <c:y val="0.17075"/>
          <c:w val="0.5315"/>
          <c:h val="0.803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system'!$G$12:$I$12</c:f>
              <c:strCache/>
            </c:strRef>
          </c:cat>
          <c:val>
            <c:numRef>
              <c:f>'Total impacts convent. system'!$G$36:$I$36</c:f>
              <c:numCache/>
            </c:numRef>
          </c:val>
        </c:ser>
      </c:pieChart>
      <c:spPr>
        <a:noFill/>
        <a:ln>
          <a:noFill/>
        </a:ln>
      </c:spPr>
    </c:plotArea>
    <c:legend>
      <c:legendPos val="r"/>
      <c:layout>
        <c:manualLayout>
          <c:xMode val="edge"/>
          <c:yMode val="edge"/>
          <c:x val="0.7925"/>
          <c:y val="0.43125"/>
          <c:w val="0.198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075"/>
          <c:y val="-0.01575"/>
        </c:manualLayout>
      </c:layout>
      <c:spPr>
        <a:noFill/>
        <a:ln w="3175">
          <a:noFill/>
        </a:ln>
      </c:spPr>
    </c:title>
    <c:plotArea>
      <c:layout>
        <c:manualLayout>
          <c:xMode val="edge"/>
          <c:yMode val="edge"/>
          <c:x val="0.28475"/>
          <c:y val="0.199"/>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system'!$C$13:$C$33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075"/>
          <c:y val="-0.01575"/>
        </c:manualLayout>
      </c:layout>
      <c:spPr>
        <a:noFill/>
        <a:ln w="3175">
          <a:noFill/>
        </a:ln>
      </c:spPr>
    </c:title>
    <c:plotArea>
      <c:layout>
        <c:manualLayout>
          <c:xMode val="edge"/>
          <c:yMode val="edge"/>
          <c:x val="0.28475"/>
          <c:y val="0.18625"/>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system'!$E$13:$E$33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2"/>
          <c:y val="-0.01575"/>
        </c:manualLayout>
      </c:layout>
      <c:spPr>
        <a:noFill/>
        <a:ln w="3175">
          <a:noFill/>
        </a:ln>
      </c:spPr>
    </c:title>
    <c:plotArea>
      <c:layout>
        <c:manualLayout>
          <c:xMode val="edge"/>
          <c:yMode val="edge"/>
          <c:x val="0.25675"/>
          <c:y val="0.1905"/>
          <c:w val="0.47425"/>
          <c:h val="0.79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system'!$B$13:$B$26</c:f>
              <c:strCache/>
            </c:strRef>
          </c:cat>
          <c:val>
            <c:numRef>
              <c:f>'Total impacts convent.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9225"/>
          <c:y val="0.12325"/>
          <c:w val="0.4145"/>
          <c:h val="0.79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system'!$D$34:$D$35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2"/>
          <c:y val="0.19725"/>
          <c:w val="0.47275"/>
          <c:h val="0.792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system'!$I$13:$I$33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2"/>
          <c:y val="-0.01575"/>
        </c:manualLayout>
      </c:layout>
      <c:spPr>
        <a:noFill/>
        <a:ln w="3175">
          <a:noFill/>
        </a:ln>
      </c:spPr>
    </c:title>
    <c:plotArea>
      <c:layout>
        <c:manualLayout>
          <c:xMode val="edge"/>
          <c:yMode val="edge"/>
          <c:x val="0.26075"/>
          <c:y val="0.12325"/>
          <c:w val="0.476"/>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system'!$H$34:$H$35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GER</a:t>
            </a:r>
          </a:p>
        </c:rich>
      </c:tx>
      <c:layout>
        <c:manualLayout>
          <c:xMode val="factor"/>
          <c:yMode val="factor"/>
          <c:x val="-0.001"/>
          <c:y val="-0.01075"/>
        </c:manualLayout>
      </c:layout>
      <c:spPr>
        <a:noFill/>
        <a:ln w="3175">
          <a:noFill/>
        </a:ln>
      </c:spPr>
    </c:title>
    <c:plotArea>
      <c:layout>
        <c:manualLayout>
          <c:xMode val="edge"/>
          <c:yMode val="edge"/>
          <c:x val="0.033"/>
          <c:y val="0.10625"/>
          <c:w val="0.80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comparison'!$C$13:$E$13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comparison'!$C$14:$E$14</c:f>
              <c:numCache/>
            </c:numRef>
          </c:val>
        </c:ser>
        <c:axId val="2077310"/>
        <c:axId val="18695791"/>
      </c:barChart>
      <c:catAx>
        <c:axId val="2077310"/>
        <c:scaling>
          <c:orientation val="minMax"/>
        </c:scaling>
        <c:axPos val="b"/>
        <c:delete val="0"/>
        <c:numFmt formatCode="General" sourceLinked="1"/>
        <c:majorTickMark val="out"/>
        <c:minorTickMark val="none"/>
        <c:tickLblPos val="nextTo"/>
        <c:spPr>
          <a:ln w="3175">
            <a:solidFill>
              <a:srgbClr val="808080"/>
            </a:solidFill>
          </a:ln>
        </c:spPr>
        <c:crossAx val="18695791"/>
        <c:crosses val="autoZero"/>
        <c:auto val="1"/>
        <c:lblOffset val="100"/>
        <c:tickLblSkip val="1"/>
        <c:noMultiLvlLbl val="0"/>
      </c:catAx>
      <c:valAx>
        <c:axId val="18695791"/>
        <c:scaling>
          <c:orientation val="minMax"/>
        </c:scaling>
        <c:axPos val="l"/>
        <c:title>
          <c:tx>
            <c:rich>
              <a:bodyPr vert="horz" rot="-5400000" anchor="ctr"/>
              <a:lstStyle/>
              <a:p>
                <a:pPr algn="ctr">
                  <a:defRPr/>
                </a:pPr>
                <a:r>
                  <a:rPr lang="en-US" cap="none" sz="1200" b="1" i="0" u="none" baseline="0">
                    <a:solidFill>
                      <a:srgbClr val="000000"/>
                    </a:solidFill>
                  </a:rPr>
                  <a:t>MJ</a:t>
                </a:r>
              </a:p>
            </c:rich>
          </c:tx>
          <c:layout>
            <c:manualLayout>
              <c:xMode val="factor"/>
              <c:yMode val="factor"/>
              <c:x val="-0.000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077310"/>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GWP</a:t>
            </a:r>
          </a:p>
        </c:rich>
      </c:tx>
      <c:layout>
        <c:manualLayout>
          <c:xMode val="factor"/>
          <c:yMode val="factor"/>
          <c:x val="-0.002"/>
          <c:y val="-0.01075"/>
        </c:manualLayout>
      </c:layout>
      <c:spPr>
        <a:noFill/>
        <a:ln w="3175">
          <a:noFill/>
        </a:ln>
      </c:spPr>
    </c:title>
    <c:plotArea>
      <c:layout>
        <c:manualLayout>
          <c:xMode val="edge"/>
          <c:yMode val="edge"/>
          <c:x val="0.033"/>
          <c:y val="0.10625"/>
          <c:w val="0.8047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comparison'!$G$13:$I$13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comparison'!$G$14:$I$14</c:f>
              <c:numCache/>
            </c:numRef>
          </c:val>
        </c:ser>
        <c:axId val="34044392"/>
        <c:axId val="37964073"/>
      </c:barChart>
      <c:catAx>
        <c:axId val="34044392"/>
        <c:scaling>
          <c:orientation val="minMax"/>
        </c:scaling>
        <c:axPos val="b"/>
        <c:delete val="0"/>
        <c:numFmt formatCode="General" sourceLinked="1"/>
        <c:majorTickMark val="out"/>
        <c:minorTickMark val="none"/>
        <c:tickLblPos val="nextTo"/>
        <c:spPr>
          <a:ln w="3175">
            <a:solidFill>
              <a:srgbClr val="808080"/>
            </a:solidFill>
          </a:ln>
        </c:spPr>
        <c:crossAx val="37964073"/>
        <c:crosses val="autoZero"/>
        <c:auto val="1"/>
        <c:lblOffset val="100"/>
        <c:tickLblSkip val="1"/>
        <c:noMultiLvlLbl val="0"/>
      </c:catAx>
      <c:valAx>
        <c:axId val="37964073"/>
        <c:scaling>
          <c:orientation val="minMax"/>
        </c:scaling>
        <c:axPos val="l"/>
        <c:title>
          <c:tx>
            <c:rich>
              <a:bodyPr vert="horz" rot="-5400000" anchor="ctr"/>
              <a:lstStyle/>
              <a:p>
                <a:pPr algn="ctr">
                  <a:defRPr/>
                </a:pPr>
                <a:r>
                  <a:rPr lang="en-US" cap="none" sz="1200" b="1" i="0" u="none" baseline="0">
                    <a:solidFill>
                      <a:srgbClr val="000000"/>
                    </a:solidFill>
                  </a:rPr>
                  <a:t>kgCO</a:t>
                </a:r>
                <a:r>
                  <a:rPr lang="en-US" cap="none" sz="1200" b="1" i="0" u="none" baseline="-25000">
                    <a:solidFill>
                      <a:srgbClr val="000000"/>
                    </a:solidFill>
                  </a:rPr>
                  <a:t>2eq</a:t>
                </a:r>
              </a:p>
            </c:rich>
          </c:tx>
          <c:layout>
            <c:manualLayout>
              <c:xMode val="factor"/>
              <c:yMode val="factor"/>
              <c:x val="-0.001"/>
              <c:y val="0.003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4044392"/>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89"/>
          <c:y val="0.12325"/>
          <c:w val="0.4197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0"/>
            <c:showBubbleSize val="0"/>
            <c:showCatName val="1"/>
            <c:showSerName val="0"/>
            <c:showLeaderLines val="1"/>
            <c:showPercent val="1"/>
          </c:dLbls>
          <c:cat>
            <c:strRef>
              <c:f>'Total impacts SHC system'!$B$28:$B$29</c:f>
              <c:strCache/>
            </c:strRef>
          </c:cat>
          <c:val>
            <c:numRef>
              <c:f>'Total impacts SHC system'!$D$28:$D$29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175"/>
          <c:y val="-0.01575"/>
        </c:manualLayout>
      </c:layout>
      <c:spPr>
        <a:noFill/>
        <a:ln w="3175">
          <a:noFill/>
        </a:ln>
      </c:spPr>
    </c:title>
    <c:plotArea>
      <c:layout>
        <c:manualLayout>
          <c:xMode val="edge"/>
          <c:yMode val="edge"/>
          <c:x val="0.2815"/>
          <c:y val="0.18625"/>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system'!$E$13:$E$27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6"/>
          <c:y val="0.028"/>
        </c:manualLayout>
      </c:layout>
      <c:spPr>
        <a:noFill/>
        <a:ln w="3175">
          <a:noFill/>
        </a:ln>
      </c:spPr>
    </c:title>
    <c:plotArea>
      <c:layout>
        <c:manualLayout>
          <c:xMode val="edge"/>
          <c:yMode val="edge"/>
          <c:x val="0.16225"/>
          <c:y val="0.17075"/>
          <c:w val="0.466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1"/>
            <c:showPercent val="1"/>
          </c:dLbls>
          <c:cat>
            <c:strRef>
              <c:f>'Total impacts SHC system'!$C$12:$E$12</c:f>
              <c:strCache/>
            </c:strRef>
          </c:cat>
          <c:val>
            <c:numRef>
              <c:f>'Total impacts SHC system'!$C$30:$E$30</c:f>
              <c:numCache/>
            </c:numRef>
          </c:val>
        </c:ser>
      </c:pieChart>
      <c:spPr>
        <a:noFill/>
        <a:ln>
          <a:noFill/>
        </a:ln>
      </c:spPr>
    </c:plotArea>
    <c:legend>
      <c:legendPos val="r"/>
      <c:layout>
        <c:manualLayout>
          <c:xMode val="edge"/>
          <c:yMode val="edge"/>
          <c:x val="0.802"/>
          <c:y val="0.43125"/>
          <c:w val="0.189"/>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4"/>
          <c:y val="0.028"/>
        </c:manualLayout>
      </c:layout>
      <c:spPr>
        <a:noFill/>
        <a:ln w="3175">
          <a:noFill/>
        </a:ln>
      </c:spPr>
    </c:title>
    <c:plotArea>
      <c:layout>
        <c:manualLayout>
          <c:xMode val="edge"/>
          <c:yMode val="edge"/>
          <c:x val="0.16325"/>
          <c:y val="0.17075"/>
          <c:w val="0.465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SHC system'!$G$12:$I$12</c:f>
              <c:strCache/>
            </c:strRef>
          </c:cat>
          <c:val>
            <c:numRef>
              <c:f>'Total impacts SHC system'!$G$30:$I$30</c:f>
              <c:numCache/>
            </c:numRef>
          </c:val>
        </c:ser>
      </c:pieChart>
      <c:spPr>
        <a:noFill/>
        <a:ln>
          <a:noFill/>
        </a:ln>
      </c:spPr>
    </c:plotArea>
    <c:legend>
      <c:legendPos val="r"/>
      <c:layout>
        <c:manualLayout>
          <c:xMode val="edge"/>
          <c:yMode val="edge"/>
          <c:x val="0.80275"/>
          <c:y val="0.43125"/>
          <c:w val="0.188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175"/>
          <c:y val="-0.01575"/>
        </c:manualLayout>
      </c:layout>
      <c:spPr>
        <a:noFill/>
        <a:ln w="3175">
          <a:noFill/>
        </a:ln>
      </c:spPr>
    </c:title>
    <c:plotArea>
      <c:layout>
        <c:manualLayout>
          <c:xMode val="edge"/>
          <c:yMode val="edge"/>
          <c:x val="0.26075"/>
          <c:y val="0.1905"/>
          <c:w val="0.467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175"/>
          <c:y val="-0.01575"/>
        </c:manualLayout>
      </c:layout>
      <c:spPr>
        <a:noFill/>
        <a:ln w="3175">
          <a:noFill/>
        </a:ln>
      </c:spPr>
    </c:title>
    <c:plotArea>
      <c:layout>
        <c:manualLayout>
          <c:xMode val="edge"/>
          <c:yMode val="edge"/>
          <c:x val="0.2655"/>
          <c:y val="0.12325"/>
          <c:w val="0.466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SHC system'!$B$28:$B$29</c:f>
              <c:strCache/>
            </c:strRef>
          </c:cat>
          <c:val>
            <c:numRef>
              <c:f>'Total impacts SHC system'!$H$28:$H$29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65"/>
          <c:y val="0.19725"/>
          <c:w val="0.46375"/>
          <c:h val="0.79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system'!$I$13:$I$27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2"/>
          <c:y val="0.028"/>
        </c:manualLayout>
      </c:layout>
      <c:spPr>
        <a:noFill/>
        <a:ln w="3175">
          <a:noFill/>
        </a:ln>
      </c:spPr>
    </c:title>
    <c:plotArea>
      <c:layout>
        <c:manualLayout>
          <c:xMode val="edge"/>
          <c:yMode val="edge"/>
          <c:x val="0.13375"/>
          <c:y val="0.17075"/>
          <c:w val="0.55"/>
          <c:h val="0.8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system'!$C$12:$E$12</c:f>
              <c:strCache/>
            </c:strRef>
          </c:cat>
          <c:val>
            <c:numRef>
              <c:f>'Total impacts convent. system'!$C$36:$E$36</c:f>
              <c:numCache/>
            </c:numRef>
          </c:val>
        </c:ser>
      </c:pieChart>
      <c:spPr>
        <a:noFill/>
        <a:ln>
          <a:noFill/>
        </a:ln>
      </c:spPr>
    </c:plotArea>
    <c:legend>
      <c:legendPos val="r"/>
      <c:layout>
        <c:manualLayout>
          <c:xMode val="edge"/>
          <c:yMode val="edge"/>
          <c:x val="0.78625"/>
          <c:y val="0.43125"/>
          <c:w val="0.204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466725</xdr:colOff>
      <xdr:row>7</xdr:row>
      <xdr:rowOff>0</xdr:rowOff>
    </xdr:to>
    <xdr:pic>
      <xdr:nvPicPr>
        <xdr:cNvPr id="1" name="Immagine 2"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38100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7</xdr:row>
      <xdr:rowOff>0</xdr:rowOff>
    </xdr:to>
    <xdr:pic>
      <xdr:nvPicPr>
        <xdr:cNvPr id="1" name="Immagine 10"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57150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77375"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342900</xdr:colOff>
      <xdr:row>6</xdr:row>
      <xdr:rowOff>66675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14450"/>
        </a:xfrm>
        <a:prstGeom prst="rect">
          <a:avLst/>
        </a:prstGeom>
        <a:noFill/>
        <a:ln w="9525" cmpd="sng">
          <a:noFill/>
        </a:ln>
      </xdr:spPr>
    </xdr:pic>
    <xdr:clientData/>
  </xdr:twoCellAnchor>
  <xdr:twoCellAnchor>
    <xdr:from>
      <xdr:col>1</xdr:col>
      <xdr:colOff>38100</xdr:colOff>
      <xdr:row>48</xdr:row>
      <xdr:rowOff>152400</xdr:rowOff>
    </xdr:from>
    <xdr:to>
      <xdr:col>9</xdr:col>
      <xdr:colOff>495300</xdr:colOff>
      <xdr:row>81</xdr:row>
      <xdr:rowOff>0</xdr:rowOff>
    </xdr:to>
    <xdr:graphicFrame>
      <xdr:nvGraphicFramePr>
        <xdr:cNvPr id="2" name="Grafico 2"/>
        <xdr:cNvGraphicFramePr/>
      </xdr:nvGraphicFramePr>
      <xdr:xfrm>
        <a:off x="647700" y="10115550"/>
        <a:ext cx="11591925" cy="61341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81</xdr:row>
      <xdr:rowOff>57150</xdr:rowOff>
    </xdr:from>
    <xdr:to>
      <xdr:col>9</xdr:col>
      <xdr:colOff>485775</xdr:colOff>
      <xdr:row>113</xdr:row>
      <xdr:rowOff>95250</xdr:rowOff>
    </xdr:to>
    <xdr:graphicFrame>
      <xdr:nvGraphicFramePr>
        <xdr:cNvPr id="3" name="Grafico 5"/>
        <xdr:cNvGraphicFramePr/>
      </xdr:nvGraphicFramePr>
      <xdr:xfrm>
        <a:off x="638175" y="16306800"/>
        <a:ext cx="11591925" cy="61341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113</xdr:row>
      <xdr:rowOff>152400</xdr:rowOff>
    </xdr:from>
    <xdr:to>
      <xdr:col>9</xdr:col>
      <xdr:colOff>495300</xdr:colOff>
      <xdr:row>146</xdr:row>
      <xdr:rowOff>0</xdr:rowOff>
    </xdr:to>
    <xdr:graphicFrame>
      <xdr:nvGraphicFramePr>
        <xdr:cNvPr id="4" name="Grafico 6"/>
        <xdr:cNvGraphicFramePr/>
      </xdr:nvGraphicFramePr>
      <xdr:xfrm>
        <a:off x="647700" y="22498050"/>
        <a:ext cx="11591925" cy="6134100"/>
      </xdr:xfrm>
      <a:graphic>
        <a:graphicData uri="http://schemas.openxmlformats.org/drawingml/2006/chart">
          <c:chart xmlns:c="http://schemas.openxmlformats.org/drawingml/2006/chart" r:id="rId4"/>
        </a:graphicData>
      </a:graphic>
    </xdr:graphicFrame>
    <xdr:clientData/>
  </xdr:twoCellAnchor>
  <xdr:twoCellAnchor>
    <xdr:from>
      <xdr:col>2</xdr:col>
      <xdr:colOff>971550</xdr:colOff>
      <xdr:row>30</xdr:row>
      <xdr:rowOff>85725</xdr:rowOff>
    </xdr:from>
    <xdr:to>
      <xdr:col>9</xdr:col>
      <xdr:colOff>419100</xdr:colOff>
      <xdr:row>48</xdr:row>
      <xdr:rowOff>47625</xdr:rowOff>
    </xdr:to>
    <xdr:graphicFrame>
      <xdr:nvGraphicFramePr>
        <xdr:cNvPr id="5" name="Grafico 5"/>
        <xdr:cNvGraphicFramePr/>
      </xdr:nvGraphicFramePr>
      <xdr:xfrm>
        <a:off x="6686550" y="6524625"/>
        <a:ext cx="5476875" cy="3486150"/>
      </xdr:xfrm>
      <a:graphic>
        <a:graphicData uri="http://schemas.openxmlformats.org/drawingml/2006/chart">
          <c:chart xmlns:c="http://schemas.openxmlformats.org/drawingml/2006/chart" r:id="rId5"/>
        </a:graphicData>
      </a:graphic>
    </xdr:graphicFrame>
    <xdr:clientData/>
  </xdr:twoCellAnchor>
  <xdr:twoCellAnchor>
    <xdr:from>
      <xdr:col>1</xdr:col>
      <xdr:colOff>523875</xdr:colOff>
      <xdr:row>30</xdr:row>
      <xdr:rowOff>76200</xdr:rowOff>
    </xdr:from>
    <xdr:to>
      <xdr:col>2</xdr:col>
      <xdr:colOff>914400</xdr:colOff>
      <xdr:row>48</xdr:row>
      <xdr:rowOff>38100</xdr:rowOff>
    </xdr:to>
    <xdr:graphicFrame>
      <xdr:nvGraphicFramePr>
        <xdr:cNvPr id="6" name="Grafico 5"/>
        <xdr:cNvGraphicFramePr/>
      </xdr:nvGraphicFramePr>
      <xdr:xfrm>
        <a:off x="1133475" y="6515100"/>
        <a:ext cx="5495925" cy="3486150"/>
      </xdr:xfrm>
      <a:graphic>
        <a:graphicData uri="http://schemas.openxmlformats.org/drawingml/2006/chart">
          <c:chart xmlns:c="http://schemas.openxmlformats.org/drawingml/2006/chart" r:id="rId6"/>
        </a:graphicData>
      </a:graphic>
    </xdr:graphicFrame>
    <xdr:clientData/>
  </xdr:twoCellAnchor>
  <xdr:twoCellAnchor>
    <xdr:from>
      <xdr:col>9</xdr:col>
      <xdr:colOff>533400</xdr:colOff>
      <xdr:row>48</xdr:row>
      <xdr:rowOff>152400</xdr:rowOff>
    </xdr:from>
    <xdr:to>
      <xdr:col>26</xdr:col>
      <xdr:colOff>171450</xdr:colOff>
      <xdr:row>81</xdr:row>
      <xdr:rowOff>0</xdr:rowOff>
    </xdr:to>
    <xdr:graphicFrame>
      <xdr:nvGraphicFramePr>
        <xdr:cNvPr id="7" name="Grafico 2"/>
        <xdr:cNvGraphicFramePr/>
      </xdr:nvGraphicFramePr>
      <xdr:xfrm>
        <a:off x="12277725" y="10115550"/>
        <a:ext cx="10429875" cy="6134100"/>
      </xdr:xfrm>
      <a:graphic>
        <a:graphicData uri="http://schemas.openxmlformats.org/drawingml/2006/chart">
          <c:chart xmlns:c="http://schemas.openxmlformats.org/drawingml/2006/chart" r:id="rId7"/>
        </a:graphicData>
      </a:graphic>
    </xdr:graphicFrame>
    <xdr:clientData/>
  </xdr:twoCellAnchor>
  <xdr:twoCellAnchor>
    <xdr:from>
      <xdr:col>9</xdr:col>
      <xdr:colOff>533400</xdr:colOff>
      <xdr:row>81</xdr:row>
      <xdr:rowOff>66675</xdr:rowOff>
    </xdr:from>
    <xdr:to>
      <xdr:col>26</xdr:col>
      <xdr:colOff>171450</xdr:colOff>
      <xdr:row>113</xdr:row>
      <xdr:rowOff>104775</xdr:rowOff>
    </xdr:to>
    <xdr:graphicFrame>
      <xdr:nvGraphicFramePr>
        <xdr:cNvPr id="8" name="Grafico 5"/>
        <xdr:cNvGraphicFramePr/>
      </xdr:nvGraphicFramePr>
      <xdr:xfrm>
        <a:off x="12277725" y="16316325"/>
        <a:ext cx="10429875" cy="6134100"/>
      </xdr:xfrm>
      <a:graphic>
        <a:graphicData uri="http://schemas.openxmlformats.org/drawingml/2006/chart">
          <c:chart xmlns:c="http://schemas.openxmlformats.org/drawingml/2006/chart" r:id="rId8"/>
        </a:graphicData>
      </a:graphic>
    </xdr:graphicFrame>
    <xdr:clientData/>
  </xdr:twoCellAnchor>
  <xdr:twoCellAnchor>
    <xdr:from>
      <xdr:col>9</xdr:col>
      <xdr:colOff>542925</xdr:colOff>
      <xdr:row>113</xdr:row>
      <xdr:rowOff>152400</xdr:rowOff>
    </xdr:from>
    <xdr:to>
      <xdr:col>26</xdr:col>
      <xdr:colOff>180975</xdr:colOff>
      <xdr:row>146</xdr:row>
      <xdr:rowOff>0</xdr:rowOff>
    </xdr:to>
    <xdr:graphicFrame>
      <xdr:nvGraphicFramePr>
        <xdr:cNvPr id="9" name="Grafico 6"/>
        <xdr:cNvGraphicFramePr/>
      </xdr:nvGraphicFramePr>
      <xdr:xfrm>
        <a:off x="12287250" y="22498050"/>
        <a:ext cx="10429875" cy="613410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twoCellAnchor>
    <xdr:from>
      <xdr:col>1</xdr:col>
      <xdr:colOff>0</xdr:colOff>
      <xdr:row>36</xdr:row>
      <xdr:rowOff>104775</xdr:rowOff>
    </xdr:from>
    <xdr:to>
      <xdr:col>3</xdr:col>
      <xdr:colOff>381000</xdr:colOff>
      <xdr:row>54</xdr:row>
      <xdr:rowOff>161925</xdr:rowOff>
    </xdr:to>
    <xdr:graphicFrame>
      <xdr:nvGraphicFramePr>
        <xdr:cNvPr id="2" name="Grafico 5"/>
        <xdr:cNvGraphicFramePr/>
      </xdr:nvGraphicFramePr>
      <xdr:xfrm>
        <a:off x="609600" y="7286625"/>
        <a:ext cx="5076825" cy="3486150"/>
      </xdr:xfrm>
      <a:graphic>
        <a:graphicData uri="http://schemas.openxmlformats.org/drawingml/2006/chart">
          <c:chart xmlns:c="http://schemas.openxmlformats.org/drawingml/2006/chart" r:id="rId2"/>
        </a:graphicData>
      </a:graphic>
    </xdr:graphicFrame>
    <xdr:clientData/>
  </xdr:twoCellAnchor>
  <xdr:twoCellAnchor>
    <xdr:from>
      <xdr:col>3</xdr:col>
      <xdr:colOff>438150</xdr:colOff>
      <xdr:row>36</xdr:row>
      <xdr:rowOff>104775</xdr:rowOff>
    </xdr:from>
    <xdr:to>
      <xdr:col>10</xdr:col>
      <xdr:colOff>152400</xdr:colOff>
      <xdr:row>54</xdr:row>
      <xdr:rowOff>161925</xdr:rowOff>
    </xdr:to>
    <xdr:graphicFrame>
      <xdr:nvGraphicFramePr>
        <xdr:cNvPr id="3" name="Grafico 5"/>
        <xdr:cNvGraphicFramePr/>
      </xdr:nvGraphicFramePr>
      <xdr:xfrm>
        <a:off x="5743575" y="7286625"/>
        <a:ext cx="5229225" cy="34861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56</xdr:row>
      <xdr:rowOff>0</xdr:rowOff>
    </xdr:from>
    <xdr:to>
      <xdr:col>12</xdr:col>
      <xdr:colOff>333375</xdr:colOff>
      <xdr:row>88</xdr:row>
      <xdr:rowOff>38100</xdr:rowOff>
    </xdr:to>
    <xdr:graphicFrame>
      <xdr:nvGraphicFramePr>
        <xdr:cNvPr id="4" name="Grafico 2"/>
        <xdr:cNvGraphicFramePr/>
      </xdr:nvGraphicFramePr>
      <xdr:xfrm>
        <a:off x="619125" y="10991850"/>
        <a:ext cx="11753850" cy="61341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121</xdr:row>
      <xdr:rowOff>0</xdr:rowOff>
    </xdr:from>
    <xdr:to>
      <xdr:col>12</xdr:col>
      <xdr:colOff>333375</xdr:colOff>
      <xdr:row>153</xdr:row>
      <xdr:rowOff>38100</xdr:rowOff>
    </xdr:to>
    <xdr:graphicFrame>
      <xdr:nvGraphicFramePr>
        <xdr:cNvPr id="5" name="Grafico 6"/>
        <xdr:cNvGraphicFramePr/>
      </xdr:nvGraphicFramePr>
      <xdr:xfrm>
        <a:off x="619125" y="23374350"/>
        <a:ext cx="11753850" cy="6134100"/>
      </xdr:xfrm>
      <a:graphic>
        <a:graphicData uri="http://schemas.openxmlformats.org/drawingml/2006/chart">
          <c:chart xmlns:c="http://schemas.openxmlformats.org/drawingml/2006/chart" r:id="rId5"/>
        </a:graphicData>
      </a:graphic>
    </xdr:graphicFrame>
    <xdr:clientData/>
  </xdr:twoCellAnchor>
  <xdr:twoCellAnchor>
    <xdr:from>
      <xdr:col>12</xdr:col>
      <xdr:colOff>371475</xdr:colOff>
      <xdr:row>56</xdr:row>
      <xdr:rowOff>0</xdr:rowOff>
    </xdr:from>
    <xdr:to>
      <xdr:col>29</xdr:col>
      <xdr:colOff>228600</xdr:colOff>
      <xdr:row>88</xdr:row>
      <xdr:rowOff>38100</xdr:rowOff>
    </xdr:to>
    <xdr:graphicFrame>
      <xdr:nvGraphicFramePr>
        <xdr:cNvPr id="6" name="Grafico 2"/>
        <xdr:cNvGraphicFramePr/>
      </xdr:nvGraphicFramePr>
      <xdr:xfrm>
        <a:off x="12411075" y="10991850"/>
        <a:ext cx="10220325" cy="61341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88</xdr:row>
      <xdr:rowOff>76200</xdr:rowOff>
    </xdr:from>
    <xdr:to>
      <xdr:col>12</xdr:col>
      <xdr:colOff>314325</xdr:colOff>
      <xdr:row>120</xdr:row>
      <xdr:rowOff>114300</xdr:rowOff>
    </xdr:to>
    <xdr:graphicFrame>
      <xdr:nvGraphicFramePr>
        <xdr:cNvPr id="7" name="Grafico 5"/>
        <xdr:cNvGraphicFramePr/>
      </xdr:nvGraphicFramePr>
      <xdr:xfrm>
        <a:off x="619125" y="17164050"/>
        <a:ext cx="11734800" cy="6134100"/>
      </xdr:xfrm>
      <a:graphic>
        <a:graphicData uri="http://schemas.openxmlformats.org/drawingml/2006/chart">
          <c:chart xmlns:c="http://schemas.openxmlformats.org/drawingml/2006/chart" r:id="rId7"/>
        </a:graphicData>
      </a:graphic>
    </xdr:graphicFrame>
    <xdr:clientData/>
  </xdr:twoCellAnchor>
  <xdr:twoCellAnchor>
    <xdr:from>
      <xdr:col>12</xdr:col>
      <xdr:colOff>381000</xdr:colOff>
      <xdr:row>121</xdr:row>
      <xdr:rowOff>0</xdr:rowOff>
    </xdr:from>
    <xdr:to>
      <xdr:col>29</xdr:col>
      <xdr:colOff>238125</xdr:colOff>
      <xdr:row>153</xdr:row>
      <xdr:rowOff>38100</xdr:rowOff>
    </xdr:to>
    <xdr:graphicFrame>
      <xdr:nvGraphicFramePr>
        <xdr:cNvPr id="8" name="Grafico 6"/>
        <xdr:cNvGraphicFramePr/>
      </xdr:nvGraphicFramePr>
      <xdr:xfrm>
        <a:off x="12420600" y="23374350"/>
        <a:ext cx="10220325" cy="6134100"/>
      </xdr:xfrm>
      <a:graphic>
        <a:graphicData uri="http://schemas.openxmlformats.org/drawingml/2006/chart">
          <c:chart xmlns:c="http://schemas.openxmlformats.org/drawingml/2006/chart" r:id="rId8"/>
        </a:graphicData>
      </a:graphic>
    </xdr:graphicFrame>
    <xdr:clientData/>
  </xdr:twoCellAnchor>
  <xdr:twoCellAnchor>
    <xdr:from>
      <xdr:col>12</xdr:col>
      <xdr:colOff>361950</xdr:colOff>
      <xdr:row>88</xdr:row>
      <xdr:rowOff>104775</xdr:rowOff>
    </xdr:from>
    <xdr:to>
      <xdr:col>29</xdr:col>
      <xdr:colOff>219075</xdr:colOff>
      <xdr:row>120</xdr:row>
      <xdr:rowOff>142875</xdr:rowOff>
    </xdr:to>
    <xdr:graphicFrame>
      <xdr:nvGraphicFramePr>
        <xdr:cNvPr id="9" name="Grafico 5"/>
        <xdr:cNvGraphicFramePr/>
      </xdr:nvGraphicFramePr>
      <xdr:xfrm>
        <a:off x="12401550" y="17192625"/>
        <a:ext cx="10220325" cy="6134100"/>
      </xdr:xfrm>
      <a:graphic>
        <a:graphicData uri="http://schemas.openxmlformats.org/drawingml/2006/chart">
          <c:chart xmlns:c="http://schemas.openxmlformats.org/drawingml/2006/chart" r:id="rId9"/>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657225</xdr:colOff>
      <xdr:row>7</xdr:row>
      <xdr:rowOff>9525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43025"/>
        </a:xfrm>
        <a:prstGeom prst="rect">
          <a:avLst/>
        </a:prstGeom>
        <a:noFill/>
        <a:ln w="9525" cmpd="sng">
          <a:noFill/>
        </a:ln>
      </xdr:spPr>
    </xdr:pic>
    <xdr:clientData/>
  </xdr:twoCellAnchor>
  <xdr:twoCellAnchor>
    <xdr:from>
      <xdr:col>1</xdr:col>
      <xdr:colOff>95250</xdr:colOff>
      <xdr:row>14</xdr:row>
      <xdr:rowOff>85725</xdr:rowOff>
    </xdr:from>
    <xdr:to>
      <xdr:col>10</xdr:col>
      <xdr:colOff>28575</xdr:colOff>
      <xdr:row>28</xdr:row>
      <xdr:rowOff>95250</xdr:rowOff>
    </xdr:to>
    <xdr:graphicFrame>
      <xdr:nvGraphicFramePr>
        <xdr:cNvPr id="2" name="Grafico 2"/>
        <xdr:cNvGraphicFramePr/>
      </xdr:nvGraphicFramePr>
      <xdr:xfrm>
        <a:off x="704850" y="2857500"/>
        <a:ext cx="9858375" cy="274320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28</xdr:row>
      <xdr:rowOff>133350</xdr:rowOff>
    </xdr:from>
    <xdr:to>
      <xdr:col>10</xdr:col>
      <xdr:colOff>28575</xdr:colOff>
      <xdr:row>43</xdr:row>
      <xdr:rowOff>19050</xdr:rowOff>
    </xdr:to>
    <xdr:graphicFrame>
      <xdr:nvGraphicFramePr>
        <xdr:cNvPr id="3" name="Grafico 3"/>
        <xdr:cNvGraphicFramePr/>
      </xdr:nvGraphicFramePr>
      <xdr:xfrm>
        <a:off x="704850" y="5638800"/>
        <a:ext cx="9858375" cy="27432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2362200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PageLayoutView="0" workbookViewId="0" topLeftCell="A9">
      <selection activeCell="B18" sqref="B18"/>
    </sheetView>
  </sheetViews>
  <sheetFormatPr defaultColWidth="9.140625" defaultRowHeight="15"/>
  <cols>
    <col min="1" max="1" width="9.140625" style="0" customWidth="1"/>
    <col min="3" max="3" width="6.00390625" style="0" bestFit="1" customWidth="1"/>
    <col min="4" max="4" width="13.00390625" style="0" customWidth="1"/>
    <col min="5" max="5" width="20.00390625" style="0" bestFit="1" customWidth="1"/>
    <col min="6" max="6" width="35.421875" style="0" bestFit="1" customWidth="1"/>
    <col min="7" max="7" width="21.421875" style="0" bestFit="1" customWidth="1"/>
    <col min="10" max="10" width="2.57421875" style="0" bestFit="1" customWidth="1"/>
    <col min="11" max="11" width="17.28125" style="0" bestFit="1" customWidth="1"/>
  </cols>
  <sheetData>
    <row r="1" spans="1:14" ht="15">
      <c r="A1" s="159"/>
      <c r="B1" s="159"/>
      <c r="C1" s="159"/>
      <c r="D1" s="159"/>
      <c r="E1" s="159"/>
      <c r="F1" s="159"/>
      <c r="G1" s="159"/>
      <c r="H1" s="159"/>
      <c r="I1" s="159"/>
      <c r="J1" s="159"/>
      <c r="K1" s="159"/>
      <c r="L1" s="159"/>
      <c r="M1" s="159"/>
      <c r="N1" s="159"/>
    </row>
    <row r="2" spans="1:14" ht="15">
      <c r="A2" s="159"/>
      <c r="B2" s="159"/>
      <c r="C2" s="159"/>
      <c r="D2" s="159"/>
      <c r="E2" s="159"/>
      <c r="F2" s="159"/>
      <c r="G2" s="159"/>
      <c r="H2" s="159"/>
      <c r="I2" s="159"/>
      <c r="J2" s="159"/>
      <c r="K2" s="159"/>
      <c r="L2" s="159"/>
      <c r="M2" s="159"/>
      <c r="N2" s="159"/>
    </row>
    <row r="3" spans="1:14" ht="15">
      <c r="A3" s="159"/>
      <c r="B3" s="159"/>
      <c r="C3" s="159"/>
      <c r="D3" s="159"/>
      <c r="E3" s="159"/>
      <c r="F3" s="159"/>
      <c r="G3" s="159"/>
      <c r="H3" s="159"/>
      <c r="I3" s="159"/>
      <c r="J3" s="159"/>
      <c r="K3" s="159"/>
      <c r="L3" s="159"/>
      <c r="M3" s="159"/>
      <c r="N3" s="159"/>
    </row>
    <row r="4" spans="1:14" ht="15">
      <c r="A4" s="159"/>
      <c r="B4" s="159"/>
      <c r="C4" s="159"/>
      <c r="D4" s="159"/>
      <c r="E4" s="159"/>
      <c r="F4" s="159"/>
      <c r="G4" s="159"/>
      <c r="H4" s="159"/>
      <c r="I4" s="159"/>
      <c r="J4" s="159"/>
      <c r="K4" s="159"/>
      <c r="L4" s="159"/>
      <c r="M4" s="159"/>
      <c r="N4" s="159"/>
    </row>
    <row r="5" spans="1:14" ht="15">
      <c r="A5" s="159"/>
      <c r="B5" s="159"/>
      <c r="C5" s="159"/>
      <c r="D5" s="159"/>
      <c r="E5" s="159"/>
      <c r="F5" s="159"/>
      <c r="G5" s="159"/>
      <c r="H5" s="159"/>
      <c r="I5" s="159"/>
      <c r="J5" s="159"/>
      <c r="K5" s="159"/>
      <c r="L5" s="159"/>
      <c r="M5" s="159"/>
      <c r="N5" s="159"/>
    </row>
    <row r="6" spans="1:14" ht="15">
      <c r="A6" s="159"/>
      <c r="B6" s="159"/>
      <c r="C6" s="159"/>
      <c r="D6" s="159"/>
      <c r="E6" s="159"/>
      <c r="F6" s="159"/>
      <c r="G6" s="159"/>
      <c r="H6" s="159"/>
      <c r="I6" s="159"/>
      <c r="J6" s="159"/>
      <c r="K6" s="159"/>
      <c r="L6" s="159"/>
      <c r="M6" s="159"/>
      <c r="N6" s="159"/>
    </row>
    <row r="7" spans="1:14" ht="15">
      <c r="A7" s="159"/>
      <c r="B7" s="159"/>
      <c r="C7" s="159"/>
      <c r="D7" s="159"/>
      <c r="E7" s="159"/>
      <c r="F7" s="159"/>
      <c r="G7" s="159"/>
      <c r="H7" s="159"/>
      <c r="I7" s="159"/>
      <c r="J7" s="159"/>
      <c r="K7" s="159"/>
      <c r="L7" s="159"/>
      <c r="M7" s="159"/>
      <c r="N7" s="159"/>
    </row>
    <row r="8" spans="1:14" ht="15">
      <c r="A8" s="10"/>
      <c r="B8" s="10"/>
      <c r="C8" s="10"/>
      <c r="D8" s="10"/>
      <c r="E8" s="10"/>
      <c r="F8" s="10"/>
      <c r="G8" s="10"/>
      <c r="H8" s="11"/>
      <c r="I8" s="11"/>
      <c r="J8" s="11"/>
      <c r="K8" s="11"/>
      <c r="L8" s="11"/>
      <c r="M8" s="11"/>
      <c r="N8" s="11"/>
    </row>
    <row r="9" spans="1:14" ht="18" customHeight="1">
      <c r="A9" s="11"/>
      <c r="B9" s="11"/>
      <c r="C9" s="12"/>
      <c r="D9" s="12"/>
      <c r="E9" s="12"/>
      <c r="F9" s="11"/>
      <c r="G9" s="11"/>
      <c r="H9" s="11"/>
      <c r="I9" s="11"/>
      <c r="J9" s="11"/>
      <c r="K9" s="11"/>
      <c r="L9" s="11"/>
      <c r="M9" s="11"/>
      <c r="N9" s="11"/>
    </row>
    <row r="10" spans="1:14" ht="18" customHeight="1">
      <c r="A10" s="11"/>
      <c r="B10" s="11"/>
      <c r="E10" s="17" t="s">
        <v>177</v>
      </c>
      <c r="F10" s="17" t="s">
        <v>89</v>
      </c>
      <c r="G10" s="17" t="s">
        <v>178</v>
      </c>
      <c r="H10" s="11"/>
      <c r="I10" s="84" t="s">
        <v>153</v>
      </c>
      <c r="J10" s="84"/>
      <c r="K10" s="84"/>
      <c r="N10" s="11"/>
    </row>
    <row r="11" spans="1:14" ht="19.5" customHeight="1">
      <c r="A11" s="11"/>
      <c r="B11" s="11"/>
      <c r="E11" s="87">
        <v>1</v>
      </c>
      <c r="F11" s="87" t="s">
        <v>125</v>
      </c>
      <c r="G11" s="97" t="s">
        <v>90</v>
      </c>
      <c r="H11" s="11"/>
      <c r="I11" s="85"/>
      <c r="J11" s="86" t="s">
        <v>103</v>
      </c>
      <c r="K11" s="84" t="s">
        <v>155</v>
      </c>
      <c r="N11" s="11"/>
    </row>
    <row r="12" spans="1:14" ht="19.5" customHeight="1">
      <c r="A12" s="11"/>
      <c r="B12" s="11"/>
      <c r="E12" s="88">
        <v>2</v>
      </c>
      <c r="F12" s="88" t="s">
        <v>126</v>
      </c>
      <c r="G12" s="97" t="s">
        <v>90</v>
      </c>
      <c r="H12" s="11"/>
      <c r="I12" s="89"/>
      <c r="J12" s="86" t="s">
        <v>103</v>
      </c>
      <c r="K12" s="84" t="s">
        <v>154</v>
      </c>
      <c r="N12" s="11"/>
    </row>
    <row r="13" spans="1:14" ht="19.5" customHeight="1">
      <c r="A13" s="11"/>
      <c r="B13" s="11"/>
      <c r="E13" s="81">
        <v>3</v>
      </c>
      <c r="F13" s="81" t="s">
        <v>127</v>
      </c>
      <c r="G13" s="98" t="s">
        <v>90</v>
      </c>
      <c r="H13" s="11"/>
      <c r="I13" s="90"/>
      <c r="J13" s="86" t="s">
        <v>103</v>
      </c>
      <c r="K13" s="84" t="s">
        <v>156</v>
      </c>
      <c r="N13" s="11"/>
    </row>
    <row r="14" spans="1:14" ht="19.5" customHeight="1">
      <c r="A14" s="11"/>
      <c r="B14" s="11"/>
      <c r="E14" s="81">
        <v>4</v>
      </c>
      <c r="F14" s="81" t="s">
        <v>128</v>
      </c>
      <c r="G14" s="98" t="s">
        <v>90</v>
      </c>
      <c r="H14" s="11"/>
      <c r="I14" s="11"/>
      <c r="J14" s="11"/>
      <c r="K14" s="11"/>
      <c r="L14" s="11"/>
      <c r="M14" s="11"/>
      <c r="N14" s="11"/>
    </row>
    <row r="15" spans="1:14" ht="19.5" customHeight="1">
      <c r="A15" s="11"/>
      <c r="B15" s="11"/>
      <c r="E15" s="82">
        <v>5</v>
      </c>
      <c r="F15" s="82" t="s">
        <v>129</v>
      </c>
      <c r="G15" s="99" t="s">
        <v>90</v>
      </c>
      <c r="H15" s="11"/>
      <c r="I15" s="11"/>
      <c r="J15" s="11"/>
      <c r="K15" s="11"/>
      <c r="L15" s="11"/>
      <c r="M15" s="11"/>
      <c r="N15" s="11"/>
    </row>
    <row r="16" spans="1:14" ht="19.5" customHeight="1">
      <c r="A16" s="11"/>
      <c r="B16" s="11"/>
      <c r="E16" s="82">
        <v>6</v>
      </c>
      <c r="F16" s="82" t="s">
        <v>130</v>
      </c>
      <c r="G16" s="99" t="s">
        <v>90</v>
      </c>
      <c r="H16" s="11"/>
      <c r="I16" s="11"/>
      <c r="J16" s="11"/>
      <c r="K16" s="11"/>
      <c r="L16" s="11"/>
      <c r="M16" s="11"/>
      <c r="N16" s="11"/>
    </row>
    <row r="17" spans="1:14" ht="19.5" customHeight="1">
      <c r="A17" s="11"/>
      <c r="B17" s="11"/>
      <c r="E17" s="82">
        <v>7</v>
      </c>
      <c r="F17" s="82" t="s">
        <v>87</v>
      </c>
      <c r="G17" s="99" t="s">
        <v>90</v>
      </c>
      <c r="H17" s="11"/>
      <c r="I17" s="11"/>
      <c r="J17" s="11"/>
      <c r="K17" s="11"/>
      <c r="L17" s="11"/>
      <c r="M17" s="11"/>
      <c r="N17" s="11"/>
    </row>
    <row r="18" spans="1:14" ht="19.5" customHeight="1">
      <c r="A18" s="11"/>
      <c r="B18" s="11"/>
      <c r="E18" s="83">
        <v>8</v>
      </c>
      <c r="F18" s="83" t="s">
        <v>88</v>
      </c>
      <c r="G18" s="100" t="s">
        <v>90</v>
      </c>
      <c r="H18" s="11"/>
      <c r="I18" s="11"/>
      <c r="J18" s="11"/>
      <c r="K18" s="11"/>
      <c r="L18" s="11"/>
      <c r="M18" s="11"/>
      <c r="N18" s="11"/>
    </row>
    <row r="19" spans="1:14" ht="15">
      <c r="A19" s="11"/>
      <c r="B19" s="11"/>
      <c r="C19" s="12"/>
      <c r="D19" s="12"/>
      <c r="E19" s="12"/>
      <c r="F19" s="11"/>
      <c r="G19" s="11"/>
      <c r="H19" s="11"/>
      <c r="I19" s="11"/>
      <c r="J19" s="11"/>
      <c r="K19" s="11"/>
      <c r="L19" s="11"/>
      <c r="M19" s="11"/>
      <c r="N19" s="11"/>
    </row>
    <row r="20" spans="1:14" ht="15.75" thickBot="1">
      <c r="A20" s="11"/>
      <c r="B20" s="11"/>
      <c r="C20" s="11"/>
      <c r="D20" s="11"/>
      <c r="J20" s="11"/>
      <c r="K20" s="11"/>
      <c r="L20" s="11"/>
      <c r="M20" s="11"/>
      <c r="N20" s="11"/>
    </row>
    <row r="21" spans="1:14" ht="16.5" thickBot="1">
      <c r="A21" s="11"/>
      <c r="B21" s="11"/>
      <c r="C21" s="160" t="s">
        <v>168</v>
      </c>
      <c r="D21" s="161"/>
      <c r="E21" s="161"/>
      <c r="F21" s="161"/>
      <c r="G21" s="161"/>
      <c r="H21" s="161"/>
      <c r="I21" s="162"/>
      <c r="J21" s="11"/>
      <c r="K21" s="11"/>
      <c r="L21" s="11"/>
      <c r="M21" s="11"/>
      <c r="N21" s="11"/>
    </row>
    <row r="22" ht="15.75" thickBot="1"/>
    <row r="23" spans="3:9" ht="16.5">
      <c r="C23" s="192" t="s">
        <v>190</v>
      </c>
      <c r="D23" s="193"/>
      <c r="E23" s="193"/>
      <c r="F23" s="193"/>
      <c r="G23" s="193"/>
      <c r="H23" s="193"/>
      <c r="I23" s="194"/>
    </row>
    <row r="24" spans="3:9" ht="15">
      <c r="C24" s="195" t="s">
        <v>191</v>
      </c>
      <c r="D24" s="196"/>
      <c r="E24" s="196"/>
      <c r="F24" s="196"/>
      <c r="G24" s="196"/>
      <c r="H24" s="196"/>
      <c r="I24" s="197"/>
    </row>
    <row r="25" spans="3:9" ht="15">
      <c r="C25" s="198"/>
      <c r="D25" s="199"/>
      <c r="E25" s="199"/>
      <c r="F25" s="199"/>
      <c r="G25" s="199"/>
      <c r="H25" s="199"/>
      <c r="I25" s="200"/>
    </row>
    <row r="26" spans="3:9" ht="15">
      <c r="C26" s="201" t="s">
        <v>192</v>
      </c>
      <c r="D26" s="199"/>
      <c r="E26" s="199"/>
      <c r="F26" s="199"/>
      <c r="G26" s="199"/>
      <c r="H26" s="199"/>
      <c r="I26" s="200"/>
    </row>
    <row r="27" spans="3:9" ht="15">
      <c r="C27" s="198"/>
      <c r="D27" s="199"/>
      <c r="E27" s="199"/>
      <c r="F27" s="199"/>
      <c r="G27" s="199"/>
      <c r="H27" s="199"/>
      <c r="I27" s="200"/>
    </row>
    <row r="28" spans="3:9" ht="15">
      <c r="C28" s="201" t="s">
        <v>193</v>
      </c>
      <c r="D28" s="199"/>
      <c r="E28" s="199"/>
      <c r="F28" s="199"/>
      <c r="G28" s="199"/>
      <c r="H28" s="199"/>
      <c r="I28" s="200"/>
    </row>
    <row r="29" spans="3:9" ht="15">
      <c r="C29" s="198"/>
      <c r="D29" s="199"/>
      <c r="E29" s="199"/>
      <c r="F29" s="199"/>
      <c r="G29" s="199"/>
      <c r="H29" s="199"/>
      <c r="I29" s="200"/>
    </row>
    <row r="30" spans="3:9" ht="15">
      <c r="C30" s="198"/>
      <c r="D30" s="199"/>
      <c r="E30" s="199"/>
      <c r="F30" s="199"/>
      <c r="G30" s="199"/>
      <c r="H30" s="199"/>
      <c r="I30" s="200"/>
    </row>
    <row r="31" spans="3:9" ht="15">
      <c r="C31" s="198"/>
      <c r="D31" s="199"/>
      <c r="E31" s="199"/>
      <c r="F31" s="199"/>
      <c r="G31" s="199"/>
      <c r="H31" s="199"/>
      <c r="I31" s="200"/>
    </row>
    <row r="32" spans="3:9" ht="15">
      <c r="C32" s="202" t="s">
        <v>194</v>
      </c>
      <c r="D32" s="196"/>
      <c r="E32" s="196"/>
      <c r="F32" s="196"/>
      <c r="G32" s="196"/>
      <c r="H32" s="196"/>
      <c r="I32" s="197"/>
    </row>
    <row r="33" spans="3:9" ht="15">
      <c r="C33" s="198"/>
      <c r="D33" s="199"/>
      <c r="E33" s="199"/>
      <c r="F33" s="199"/>
      <c r="G33" s="199"/>
      <c r="H33" s="199"/>
      <c r="I33" s="200"/>
    </row>
    <row r="34" spans="3:9" ht="15">
      <c r="C34" s="198"/>
      <c r="D34" s="199"/>
      <c r="E34" s="199"/>
      <c r="F34" s="199"/>
      <c r="G34" s="199"/>
      <c r="H34" s="199"/>
      <c r="I34" s="200"/>
    </row>
    <row r="35" spans="3:9" ht="15.75" thickBot="1">
      <c r="C35" s="203"/>
      <c r="D35" s="204"/>
      <c r="E35" s="204"/>
      <c r="F35" s="204"/>
      <c r="G35" s="204"/>
      <c r="H35" s="204"/>
      <c r="I35" s="205"/>
    </row>
  </sheetData>
  <sheetProtection/>
  <mergeCells count="7">
    <mergeCell ref="C28:I31"/>
    <mergeCell ref="C32:I35"/>
    <mergeCell ref="A1:N7"/>
    <mergeCell ref="C21:I21"/>
    <mergeCell ref="C23:I23"/>
    <mergeCell ref="C24:I25"/>
    <mergeCell ref="C26:I27"/>
  </mergeCells>
  <hyperlinks>
    <hyperlink ref="G11" location="'SHC system'!A1" display="Click here"/>
    <hyperlink ref="G12" location="'Conventional system'!A1" display="Click here"/>
    <hyperlink ref="G13" location="'Specific impacts SHC system'!A1" display="Click here"/>
    <hyperlink ref="G14" location="'Specific impacts conven. system'!A1" display="Click here"/>
    <hyperlink ref="G15" location="'Total impacts SHC system'!A1" display="Click here"/>
    <hyperlink ref="G16" location="'Total impacts convent. system'!A1" display="Click here"/>
    <hyperlink ref="G17" location="'Impacts comparison'!A1" display="Click here"/>
    <hyperlink ref="G18" location="'Payback indices'!A1" display="Click here"/>
  </hyperlinks>
  <printOptions/>
  <pageMargins left="0.7" right="0.7" top="0.75" bottom="0.75" header="0.3" footer="0.3"/>
  <pageSetup fitToHeight="0" fitToWidth="0"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9:K32"/>
  <sheetViews>
    <sheetView showGridLines="0" zoomScalePageLayoutView="0" workbookViewId="0" topLeftCell="A1">
      <selection activeCell="I19" sqref="I19"/>
    </sheetView>
  </sheetViews>
  <sheetFormatPr defaultColWidth="9.140625" defaultRowHeight="15"/>
  <cols>
    <col min="1" max="1" width="9.140625" style="0" customWidth="1"/>
    <col min="2" max="2" width="20.140625" style="0" bestFit="1" customWidth="1"/>
    <col min="3" max="3" width="2.140625" style="0" bestFit="1" customWidth="1"/>
    <col min="4" max="4" width="37.7109375" style="0" bestFit="1" customWidth="1"/>
    <col min="5" max="5" width="7.8515625" style="0" bestFit="1" customWidth="1"/>
    <col min="6" max="6" width="9.140625" style="0" customWidth="1"/>
    <col min="7" max="7" width="18.28125" style="0" bestFit="1" customWidth="1"/>
    <col min="8" max="8" width="2.140625" style="0" bestFit="1" customWidth="1"/>
    <col min="9" max="9" width="41.421875" style="0" bestFit="1" customWidth="1"/>
    <col min="10" max="10" width="12.28125" style="0" bestFit="1" customWidth="1"/>
  </cols>
  <sheetData>
    <row r="8" ht="15.75" thickBot="1"/>
    <row r="9" ht="18" thickBot="1">
      <c r="B9" s="101" t="s">
        <v>165</v>
      </c>
    </row>
    <row r="10" spans="1:11" ht="16.5" thickBot="1">
      <c r="A10" s="64"/>
      <c r="B10" s="64"/>
      <c r="C10" s="64"/>
      <c r="D10" s="64"/>
      <c r="E10" s="64"/>
      <c r="F10" s="64"/>
      <c r="G10" s="64"/>
      <c r="H10" s="64"/>
      <c r="I10" s="64"/>
      <c r="J10" s="64"/>
      <c r="K10" s="64"/>
    </row>
    <row r="11" spans="1:11" ht="18.75" customHeight="1">
      <c r="A11" s="64"/>
      <c r="B11" s="177" t="s">
        <v>118</v>
      </c>
      <c r="C11" s="178"/>
      <c r="D11" s="178"/>
      <c r="E11" s="179"/>
      <c r="F11" s="64"/>
      <c r="G11" s="177" t="s">
        <v>119</v>
      </c>
      <c r="H11" s="178"/>
      <c r="I11" s="178"/>
      <c r="J11" s="179"/>
      <c r="K11" s="64"/>
    </row>
    <row r="12" spans="1:11" ht="18.75" customHeight="1">
      <c r="A12" s="64"/>
      <c r="B12" s="180" t="s">
        <v>187</v>
      </c>
      <c r="C12" s="181"/>
      <c r="D12" s="181"/>
      <c r="E12" s="182"/>
      <c r="F12" s="64"/>
      <c r="G12" s="180" t="s">
        <v>188</v>
      </c>
      <c r="H12" s="181"/>
      <c r="I12" s="181"/>
      <c r="J12" s="182"/>
      <c r="K12" s="64"/>
    </row>
    <row r="13" spans="1:11" ht="18.75" customHeight="1">
      <c r="A13" s="64"/>
      <c r="B13" s="183"/>
      <c r="C13" s="184"/>
      <c r="D13" s="184"/>
      <c r="E13" s="185"/>
      <c r="F13" s="64"/>
      <c r="G13" s="183"/>
      <c r="H13" s="184"/>
      <c r="I13" s="184"/>
      <c r="J13" s="185"/>
      <c r="K13" s="64"/>
    </row>
    <row r="14" spans="1:11" ht="15.75">
      <c r="A14" s="64"/>
      <c r="B14" s="183"/>
      <c r="C14" s="184"/>
      <c r="D14" s="184"/>
      <c r="E14" s="185"/>
      <c r="F14" s="64"/>
      <c r="G14" s="183"/>
      <c r="H14" s="184"/>
      <c r="I14" s="184"/>
      <c r="J14" s="185"/>
      <c r="K14" s="64"/>
    </row>
    <row r="15" spans="1:11" ht="15.75">
      <c r="A15" s="64"/>
      <c r="B15" s="186"/>
      <c r="C15" s="187"/>
      <c r="D15" s="187"/>
      <c r="E15" s="188"/>
      <c r="F15" s="64"/>
      <c r="G15" s="189"/>
      <c r="H15" s="190"/>
      <c r="I15" s="190"/>
      <c r="J15" s="191"/>
      <c r="K15" s="64"/>
    </row>
    <row r="16" spans="1:11" ht="18.75">
      <c r="A16" s="64"/>
      <c r="B16" s="65" t="s">
        <v>106</v>
      </c>
      <c r="C16" s="15" t="s">
        <v>103</v>
      </c>
      <c r="D16" s="67">
        <f>'Total impacts SHC system'!C30+'Total impacts SHC system'!E30</f>
        <v>0</v>
      </c>
      <c r="E16" s="66" t="s">
        <v>105</v>
      </c>
      <c r="F16" s="64"/>
      <c r="G16" s="65" t="s">
        <v>108</v>
      </c>
      <c r="H16" s="15" t="s">
        <v>103</v>
      </c>
      <c r="I16" s="67">
        <f>'Total impacts SHC system'!G30+'Total impacts SHC system'!I30</f>
        <v>0</v>
      </c>
      <c r="J16" s="66" t="s">
        <v>111</v>
      </c>
      <c r="K16" s="64"/>
    </row>
    <row r="17" spans="1:11" ht="18.75">
      <c r="A17" s="64"/>
      <c r="B17" s="65" t="s">
        <v>107</v>
      </c>
      <c r="C17" s="15" t="s">
        <v>103</v>
      </c>
      <c r="D17" s="67">
        <f>'Total impacts convent. system'!C36+'Total impacts convent. system'!E36</f>
        <v>0</v>
      </c>
      <c r="E17" s="66" t="s">
        <v>105</v>
      </c>
      <c r="F17" s="64"/>
      <c r="G17" s="65" t="s">
        <v>109</v>
      </c>
      <c r="H17" s="15" t="s">
        <v>103</v>
      </c>
      <c r="I17" s="67">
        <f>'Total impacts convent. system'!G36+'Total impacts convent. system'!I36</f>
        <v>0</v>
      </c>
      <c r="J17" s="66" t="s">
        <v>111</v>
      </c>
      <c r="K17" s="64"/>
    </row>
    <row r="18" spans="1:11" ht="18.75">
      <c r="A18" s="64"/>
      <c r="B18" s="65" t="s">
        <v>104</v>
      </c>
      <c r="C18" s="15" t="s">
        <v>103</v>
      </c>
      <c r="D18" s="15" t="e">
        <f>('Total impacts convent. system'!D36-'Total impacts SHC system'!D30)/'SHC system'!D33</f>
        <v>#DIV/0!</v>
      </c>
      <c r="E18" s="66" t="s">
        <v>113</v>
      </c>
      <c r="F18" s="64"/>
      <c r="G18" s="65" t="s">
        <v>110</v>
      </c>
      <c r="H18" s="15" t="s">
        <v>103</v>
      </c>
      <c r="I18" s="15" t="e">
        <f>('Total impacts convent. system'!H36-'Total impacts SHC system'!H30)/'SHC system'!D33</f>
        <v>#DIV/0!</v>
      </c>
      <c r="J18" s="66" t="s">
        <v>114</v>
      </c>
      <c r="K18" s="64"/>
    </row>
    <row r="19" spans="1:11" ht="15.75">
      <c r="A19" s="64"/>
      <c r="B19" s="65"/>
      <c r="C19" s="15"/>
      <c r="D19" s="15"/>
      <c r="E19" s="66"/>
      <c r="F19" s="64"/>
      <c r="G19" s="65"/>
      <c r="H19" s="15"/>
      <c r="I19" s="15"/>
      <c r="J19" s="66"/>
      <c r="K19" s="64"/>
    </row>
    <row r="20" spans="1:11" ht="16.5" thickBot="1">
      <c r="A20" s="64"/>
      <c r="B20" s="68" t="s">
        <v>117</v>
      </c>
      <c r="C20" s="69" t="s">
        <v>103</v>
      </c>
      <c r="D20" s="79" t="e">
        <f>(D16-D17)/D18</f>
        <v>#DIV/0!</v>
      </c>
      <c r="E20" s="70" t="s">
        <v>112</v>
      </c>
      <c r="F20" s="64"/>
      <c r="G20" s="68" t="s">
        <v>120</v>
      </c>
      <c r="H20" s="69" t="s">
        <v>103</v>
      </c>
      <c r="I20" s="79" t="e">
        <f>(I16-I17)/(I18)</f>
        <v>#DIV/0!</v>
      </c>
      <c r="J20" s="70" t="s">
        <v>112</v>
      </c>
      <c r="K20" s="64"/>
    </row>
    <row r="21" spans="1:11" ht="16.5" thickBot="1">
      <c r="A21" s="64"/>
      <c r="B21" s="64"/>
      <c r="C21" s="64"/>
      <c r="D21" s="64"/>
      <c r="E21" s="64"/>
      <c r="F21" s="64"/>
      <c r="G21" s="64"/>
      <c r="H21" s="64"/>
      <c r="I21" s="64"/>
      <c r="J21" s="64"/>
      <c r="K21" s="64"/>
    </row>
    <row r="22" spans="1:11" ht="19.5" customHeight="1">
      <c r="A22" s="64"/>
      <c r="B22" s="177" t="s">
        <v>122</v>
      </c>
      <c r="C22" s="178"/>
      <c r="D22" s="178"/>
      <c r="E22" s="179"/>
      <c r="F22" s="64"/>
      <c r="G22" s="64"/>
      <c r="H22" s="64"/>
      <c r="I22" s="64"/>
      <c r="J22" s="64"/>
      <c r="K22" s="64"/>
    </row>
    <row r="23" spans="1:11" ht="19.5" customHeight="1">
      <c r="A23" s="64"/>
      <c r="B23" s="180" t="s">
        <v>123</v>
      </c>
      <c r="C23" s="181"/>
      <c r="D23" s="181"/>
      <c r="E23" s="182"/>
      <c r="F23" s="64"/>
      <c r="G23" s="64"/>
      <c r="H23" s="64"/>
      <c r="I23" s="64"/>
      <c r="J23" s="64"/>
      <c r="K23" s="64"/>
    </row>
    <row r="24" spans="1:11" ht="19.5" customHeight="1">
      <c r="A24" s="64"/>
      <c r="B24" s="183"/>
      <c r="C24" s="184"/>
      <c r="D24" s="184"/>
      <c r="E24" s="185"/>
      <c r="F24" s="64"/>
      <c r="G24" s="64"/>
      <c r="H24" s="64"/>
      <c r="I24" s="64"/>
      <c r="J24" s="64"/>
      <c r="K24" s="64"/>
    </row>
    <row r="25" spans="1:11" ht="19.5" customHeight="1">
      <c r="A25" s="64"/>
      <c r="B25" s="189"/>
      <c r="C25" s="190"/>
      <c r="D25" s="190"/>
      <c r="E25" s="191"/>
      <c r="F25" s="64"/>
      <c r="G25" s="64"/>
      <c r="H25" s="64"/>
      <c r="I25" s="64"/>
      <c r="J25" s="64"/>
      <c r="K25" s="64"/>
    </row>
    <row r="26" spans="1:11" ht="15.75">
      <c r="A26" s="64"/>
      <c r="B26" s="65"/>
      <c r="C26" s="15"/>
      <c r="D26" s="15"/>
      <c r="E26" s="66"/>
      <c r="F26" s="64"/>
      <c r="G26" s="64"/>
      <c r="H26" s="64"/>
      <c r="I26" s="64"/>
      <c r="J26" s="64"/>
      <c r="K26" s="64"/>
    </row>
    <row r="27" spans="1:11" ht="18.75">
      <c r="A27" s="64"/>
      <c r="B27" s="65" t="s">
        <v>106</v>
      </c>
      <c r="C27" s="15" t="s">
        <v>103</v>
      </c>
      <c r="D27" s="67">
        <f>'Total impacts SHC system'!C30+'Total impacts SHC system'!E30</f>
        <v>0</v>
      </c>
      <c r="E27" s="66" t="s">
        <v>105</v>
      </c>
      <c r="F27" s="64"/>
      <c r="G27" s="64"/>
      <c r="H27" s="64"/>
      <c r="I27" s="64"/>
      <c r="J27" s="64"/>
      <c r="K27" s="64"/>
    </row>
    <row r="28" spans="1:11" ht="18.75">
      <c r="A28" s="64"/>
      <c r="B28" s="65" t="s">
        <v>115</v>
      </c>
      <c r="C28" s="15" t="s">
        <v>103</v>
      </c>
      <c r="D28" s="67">
        <f>'Total impacts convent. system'!D36-'Total impacts SHC system'!D30</f>
        <v>0</v>
      </c>
      <c r="E28" s="66" t="s">
        <v>105</v>
      </c>
      <c r="F28" s="64"/>
      <c r="G28" s="64"/>
      <c r="H28" s="64"/>
      <c r="I28" s="64"/>
      <c r="J28" s="64"/>
      <c r="K28" s="64"/>
    </row>
    <row r="29" spans="1:11" ht="15.75">
      <c r="A29" s="64"/>
      <c r="B29" s="65"/>
      <c r="C29" s="15"/>
      <c r="D29" s="15"/>
      <c r="E29" s="66"/>
      <c r="F29" s="64"/>
      <c r="G29" s="64"/>
      <c r="H29" s="64"/>
      <c r="I29" s="64"/>
      <c r="J29" s="64"/>
      <c r="K29" s="64"/>
    </row>
    <row r="30" spans="1:11" ht="16.5" thickBot="1">
      <c r="A30" s="64"/>
      <c r="B30" s="68" t="s">
        <v>121</v>
      </c>
      <c r="C30" s="69" t="s">
        <v>103</v>
      </c>
      <c r="D30" s="79" t="e">
        <f>D28/D27</f>
        <v>#DIV/0!</v>
      </c>
      <c r="E30" s="70"/>
      <c r="F30" s="64"/>
      <c r="G30" s="64"/>
      <c r="H30" s="64"/>
      <c r="I30" s="64"/>
      <c r="J30" s="64"/>
      <c r="K30" s="64"/>
    </row>
    <row r="31" spans="1:11" ht="15.75">
      <c r="A31" s="64"/>
      <c r="B31" s="64"/>
      <c r="C31" s="64"/>
      <c r="D31" s="64"/>
      <c r="E31" s="64"/>
      <c r="F31" s="64"/>
      <c r="G31" s="64"/>
      <c r="H31" s="64"/>
      <c r="I31" s="64"/>
      <c r="J31" s="64"/>
      <c r="K31" s="64"/>
    </row>
    <row r="32" spans="1:11" ht="15.75">
      <c r="A32" s="64"/>
      <c r="B32" s="64"/>
      <c r="C32" s="64"/>
      <c r="D32" s="64"/>
      <c r="E32" s="64"/>
      <c r="F32" s="64"/>
      <c r="G32" s="64"/>
      <c r="H32" s="64"/>
      <c r="I32" s="64"/>
      <c r="J32" s="64"/>
      <c r="K32" s="64"/>
    </row>
  </sheetData>
  <sheetProtection/>
  <mergeCells count="6">
    <mergeCell ref="B11:E11"/>
    <mergeCell ref="G11:J11"/>
    <mergeCell ref="B22:E22"/>
    <mergeCell ref="B12:E15"/>
    <mergeCell ref="G12:J15"/>
    <mergeCell ref="B23:E25"/>
  </mergeCell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9:G34"/>
  <sheetViews>
    <sheetView showGridLines="0" zoomScale="110" zoomScaleNormal="110" zoomScalePageLayoutView="0" workbookViewId="0" topLeftCell="A13">
      <selection activeCell="B30" sqref="B30"/>
    </sheetView>
  </sheetViews>
  <sheetFormatPr defaultColWidth="9.140625" defaultRowHeight="15"/>
  <cols>
    <col min="1" max="1" width="11.00390625" style="1" customWidth="1"/>
    <col min="2" max="2" width="91.140625" style="3" customWidth="1"/>
    <col min="3" max="3" width="18.57421875" style="1" customWidth="1"/>
    <col min="4" max="4" width="16.421875" style="1" customWidth="1"/>
    <col min="5" max="5" width="11.57421875" style="1" bestFit="1" customWidth="1"/>
    <col min="6" max="16384" width="9.140625" style="1" customWidth="1"/>
  </cols>
  <sheetData>
    <row r="1" ht="15"/>
    <row r="2" ht="15"/>
    <row r="3" ht="15"/>
    <row r="4" ht="15"/>
    <row r="5" ht="15"/>
    <row r="6" ht="15"/>
    <row r="7" ht="15"/>
    <row r="8" ht="15.75" thickBot="1"/>
    <row r="9" ht="18" thickBot="1">
      <c r="B9" s="101" t="s">
        <v>165</v>
      </c>
    </row>
    <row r="10" ht="15"/>
    <row r="11" spans="2:7" s="2" customFormat="1" ht="19.5" customHeight="1">
      <c r="B11" s="17" t="s">
        <v>131</v>
      </c>
      <c r="C11" s="17" t="s">
        <v>22</v>
      </c>
      <c r="D11" s="17" t="s">
        <v>86</v>
      </c>
      <c r="E11" s="19"/>
      <c r="F11" s="19"/>
      <c r="G11" s="19"/>
    </row>
    <row r="12" spans="2:7" s="2" customFormat="1" ht="19.5" customHeight="1">
      <c r="B12" s="23" t="s">
        <v>133</v>
      </c>
      <c r="C12" s="23" t="s">
        <v>94</v>
      </c>
      <c r="D12" s="28"/>
      <c r="E12" s="19"/>
      <c r="F12" s="19"/>
      <c r="G12" s="19"/>
    </row>
    <row r="13" spans="2:7" s="2" customFormat="1" ht="19.5" customHeight="1">
      <c r="B13" s="24" t="s">
        <v>137</v>
      </c>
      <c r="C13" s="24" t="s">
        <v>94</v>
      </c>
      <c r="D13" s="29"/>
      <c r="E13" s="19"/>
      <c r="F13" s="19"/>
      <c r="G13" s="19"/>
    </row>
    <row r="14" spans="2:7" s="2" customFormat="1" ht="19.5" customHeight="1">
      <c r="B14" s="24" t="s">
        <v>135</v>
      </c>
      <c r="C14" s="24" t="s">
        <v>94</v>
      </c>
      <c r="D14" s="29"/>
      <c r="E14" s="19"/>
      <c r="F14" s="19"/>
      <c r="G14" s="19"/>
    </row>
    <row r="15" spans="2:7" s="2" customFormat="1" ht="19.5" customHeight="1">
      <c r="B15" s="24" t="s">
        <v>7</v>
      </c>
      <c r="C15" s="24" t="s">
        <v>138</v>
      </c>
      <c r="D15" s="29"/>
      <c r="E15" s="19"/>
      <c r="F15" s="19"/>
      <c r="G15" s="19"/>
    </row>
    <row r="16" spans="2:7" s="2" customFormat="1" ht="19.5" customHeight="1">
      <c r="B16" s="24" t="s">
        <v>136</v>
      </c>
      <c r="C16" s="39" t="s">
        <v>94</v>
      </c>
      <c r="D16" s="29"/>
      <c r="E16" s="19"/>
      <c r="F16" s="19"/>
      <c r="G16" s="19"/>
    </row>
    <row r="17" spans="2:7" s="2" customFormat="1" ht="19.5" customHeight="1">
      <c r="B17" s="24" t="s">
        <v>134</v>
      </c>
      <c r="C17" s="39" t="s">
        <v>94</v>
      </c>
      <c r="D17" s="29"/>
      <c r="E17" s="19"/>
      <c r="F17" s="19"/>
      <c r="G17" s="19"/>
    </row>
    <row r="18" spans="2:7" s="2" customFormat="1" ht="19.5" customHeight="1">
      <c r="B18" s="24" t="s">
        <v>169</v>
      </c>
      <c r="C18" s="39" t="s">
        <v>94</v>
      </c>
      <c r="D18" s="29"/>
      <c r="E18" s="19"/>
      <c r="F18" s="19"/>
      <c r="G18" s="19"/>
    </row>
    <row r="19" spans="2:7" s="2" customFormat="1" ht="19.5" customHeight="1">
      <c r="B19" s="24" t="s">
        <v>16</v>
      </c>
      <c r="C19" s="39" t="s">
        <v>96</v>
      </c>
      <c r="D19" s="29"/>
      <c r="E19" s="19"/>
      <c r="F19" s="19"/>
      <c r="G19" s="19"/>
    </row>
    <row r="20" spans="2:7" s="2" customFormat="1" ht="19.5" customHeight="1">
      <c r="B20" s="24" t="s">
        <v>17</v>
      </c>
      <c r="C20" s="39" t="s">
        <v>96</v>
      </c>
      <c r="D20" s="29"/>
      <c r="E20" s="19"/>
      <c r="F20" s="19"/>
      <c r="G20" s="19"/>
    </row>
    <row r="21" spans="2:7" s="2" customFormat="1" ht="19.5" customHeight="1">
      <c r="B21" s="24" t="s">
        <v>5</v>
      </c>
      <c r="C21" s="39" t="s">
        <v>138</v>
      </c>
      <c r="D21" s="29"/>
      <c r="E21" s="19"/>
      <c r="F21" s="19"/>
      <c r="G21" s="19"/>
    </row>
    <row r="22" spans="2:7" s="2" customFormat="1" ht="19.5" customHeight="1">
      <c r="B22" s="24" t="s">
        <v>91</v>
      </c>
      <c r="C22" s="39" t="s">
        <v>94</v>
      </c>
      <c r="D22" s="29"/>
      <c r="E22" s="19"/>
      <c r="F22" s="19"/>
      <c r="G22" s="19"/>
    </row>
    <row r="23" spans="2:7" s="2" customFormat="1" ht="19.5" customHeight="1">
      <c r="B23" s="24" t="s">
        <v>179</v>
      </c>
      <c r="C23" s="39" t="s">
        <v>94</v>
      </c>
      <c r="D23" s="29"/>
      <c r="E23" s="19"/>
      <c r="F23" s="19"/>
      <c r="G23" s="19"/>
    </row>
    <row r="24" spans="2:7" s="2" customFormat="1" ht="19.5" customHeight="1">
      <c r="B24" s="24" t="s">
        <v>4</v>
      </c>
      <c r="C24" s="39" t="s">
        <v>95</v>
      </c>
      <c r="D24" s="29"/>
      <c r="E24" s="19"/>
      <c r="F24" s="19"/>
      <c r="G24" s="19"/>
    </row>
    <row r="25" spans="2:7" s="2" customFormat="1" ht="19.5" customHeight="1">
      <c r="B25" s="24" t="s">
        <v>92</v>
      </c>
      <c r="C25" s="39" t="s">
        <v>94</v>
      </c>
      <c r="D25" s="29"/>
      <c r="E25" s="19"/>
      <c r="F25" s="19"/>
      <c r="G25" s="19"/>
    </row>
    <row r="26" spans="2:7" s="2" customFormat="1" ht="19.5" customHeight="1">
      <c r="B26" s="25" t="s">
        <v>6</v>
      </c>
      <c r="C26" s="61" t="s">
        <v>138</v>
      </c>
      <c r="D26" s="157"/>
      <c r="E26" s="19"/>
      <c r="F26" s="19"/>
      <c r="G26" s="19"/>
    </row>
    <row r="27" spans="2:7" s="2" customFormat="1" ht="19.5" customHeight="1">
      <c r="B27" s="20"/>
      <c r="C27" s="22"/>
      <c r="D27" s="156"/>
      <c r="E27" s="19"/>
      <c r="F27" s="19"/>
      <c r="G27" s="19"/>
    </row>
    <row r="28" spans="2:7" s="2" customFormat="1" ht="19.5" customHeight="1">
      <c r="B28" s="13" t="s">
        <v>28</v>
      </c>
      <c r="C28" s="17" t="s">
        <v>22</v>
      </c>
      <c r="D28" s="158" t="s">
        <v>86</v>
      </c>
      <c r="E28" s="19"/>
      <c r="F28" s="19"/>
      <c r="G28" s="19"/>
    </row>
    <row r="29" spans="2:7" s="2" customFormat="1" ht="19.5" customHeight="1">
      <c r="B29" s="14" t="s">
        <v>8</v>
      </c>
      <c r="C29" s="14" t="s">
        <v>189</v>
      </c>
      <c r="D29" s="31"/>
      <c r="E29" s="19"/>
      <c r="F29" s="19"/>
      <c r="G29" s="19"/>
    </row>
    <row r="30" spans="2:7" s="2" customFormat="1" ht="19.5" customHeight="1">
      <c r="B30" s="16" t="s">
        <v>93</v>
      </c>
      <c r="C30" s="16" t="s">
        <v>189</v>
      </c>
      <c r="D30" s="33"/>
      <c r="E30" s="19"/>
      <c r="F30" s="19"/>
      <c r="G30" s="19"/>
    </row>
    <row r="31" spans="2:7" ht="19.5" customHeight="1">
      <c r="B31" s="21"/>
      <c r="C31" s="21"/>
      <c r="D31" s="21"/>
      <c r="E31" s="18"/>
      <c r="F31" s="18"/>
      <c r="G31" s="18"/>
    </row>
    <row r="32" spans="2:7" ht="19.5" customHeight="1">
      <c r="B32" s="17" t="s">
        <v>132</v>
      </c>
      <c r="C32" s="17" t="s">
        <v>22</v>
      </c>
      <c r="D32" s="27" t="s">
        <v>86</v>
      </c>
      <c r="E32" s="18"/>
      <c r="F32" s="18"/>
      <c r="G32" s="18"/>
    </row>
    <row r="33" spans="2:4" ht="19.5" customHeight="1">
      <c r="B33" s="25" t="s">
        <v>116</v>
      </c>
      <c r="C33" s="61" t="s">
        <v>112</v>
      </c>
      <c r="D33" s="157"/>
    </row>
    <row r="34" spans="2:3" ht="15.75">
      <c r="B34" s="73"/>
      <c r="C34" s="64"/>
    </row>
  </sheetData>
  <sheetProtection/>
  <dataValidations count="2">
    <dataValidation type="list" allowBlank="1" showInputMessage="1" showErrorMessage="1" sqref="B29">
      <formula1>Energy1</formula1>
    </dataValidation>
    <dataValidation type="list" allowBlank="1" showInputMessage="1" showErrorMessage="1" sqref="B30">
      <formula1>Energy2</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9:F40"/>
  <sheetViews>
    <sheetView showGridLines="0" zoomScale="90" zoomScaleNormal="90" zoomScalePageLayoutView="0" workbookViewId="0" topLeftCell="A1">
      <selection activeCell="B9" sqref="B9"/>
    </sheetView>
  </sheetViews>
  <sheetFormatPr defaultColWidth="9.140625" defaultRowHeight="15"/>
  <cols>
    <col min="2" max="2" width="101.421875" style="0" customWidth="1"/>
    <col min="3" max="3" width="11.421875" style="0" customWidth="1"/>
    <col min="4" max="4" width="15.140625" style="0" customWidth="1"/>
  </cols>
  <sheetData>
    <row r="3" ht="18" customHeight="1"/>
    <row r="4" ht="18" customHeight="1"/>
    <row r="5" ht="18" customHeight="1"/>
    <row r="6" ht="18" customHeight="1"/>
    <row r="7" ht="18" customHeight="1"/>
    <row r="8" ht="18" customHeight="1" thickBot="1"/>
    <row r="9" ht="18" customHeight="1" thickBot="1">
      <c r="B9" s="101" t="s">
        <v>165</v>
      </c>
    </row>
    <row r="10" ht="18" customHeight="1">
      <c r="D10" s="103"/>
    </row>
    <row r="11" spans="2:4" ht="18" customHeight="1">
      <c r="B11" s="17" t="s">
        <v>124</v>
      </c>
      <c r="C11" s="17" t="s">
        <v>22</v>
      </c>
      <c r="D11" s="104" t="s">
        <v>86</v>
      </c>
    </row>
    <row r="12" spans="2:4" ht="18" customHeight="1">
      <c r="B12" s="24" t="s">
        <v>167</v>
      </c>
      <c r="C12" s="24" t="s">
        <v>138</v>
      </c>
      <c r="D12" s="32"/>
    </row>
    <row r="13" spans="2:4" ht="18" customHeight="1">
      <c r="B13" s="24" t="s">
        <v>158</v>
      </c>
      <c r="C13" s="24" t="s">
        <v>138</v>
      </c>
      <c r="D13" s="32"/>
    </row>
    <row r="14" spans="2:4" ht="18" customHeight="1">
      <c r="B14" s="24" t="s">
        <v>166</v>
      </c>
      <c r="C14" s="24" t="s">
        <v>138</v>
      </c>
      <c r="D14" s="32"/>
    </row>
    <row r="15" spans="2:4" ht="18" customHeight="1">
      <c r="B15" s="24" t="s">
        <v>162</v>
      </c>
      <c r="C15" s="24" t="s">
        <v>138</v>
      </c>
      <c r="D15" s="32"/>
    </row>
    <row r="16" spans="2:4" ht="18" customHeight="1">
      <c r="B16" s="24" t="s">
        <v>161</v>
      </c>
      <c r="C16" s="24" t="s">
        <v>138</v>
      </c>
      <c r="D16" s="32"/>
    </row>
    <row r="17" spans="2:4" ht="18" customHeight="1">
      <c r="B17" s="24" t="s">
        <v>160</v>
      </c>
      <c r="C17" s="24" t="s">
        <v>138</v>
      </c>
      <c r="D17" s="32"/>
    </row>
    <row r="18" spans="2:4" ht="18" customHeight="1">
      <c r="B18" s="24" t="s">
        <v>159</v>
      </c>
      <c r="C18" s="24" t="s">
        <v>138</v>
      </c>
      <c r="D18" s="32"/>
    </row>
    <row r="19" spans="2:4" ht="18" customHeight="1">
      <c r="B19" s="24" t="s">
        <v>163</v>
      </c>
      <c r="C19" s="15" t="s">
        <v>138</v>
      </c>
      <c r="D19" s="32"/>
    </row>
    <row r="20" spans="2:6" ht="18" customHeight="1">
      <c r="B20" s="24" t="s">
        <v>172</v>
      </c>
      <c r="C20" s="15" t="s">
        <v>94</v>
      </c>
      <c r="D20" s="32"/>
      <c r="F20" s="156"/>
    </row>
    <row r="21" spans="2:6" ht="18" customHeight="1">
      <c r="B21" s="24" t="s">
        <v>139</v>
      </c>
      <c r="C21" s="15" t="s">
        <v>94</v>
      </c>
      <c r="D21" s="32"/>
      <c r="F21" s="156"/>
    </row>
    <row r="22" spans="2:6" ht="18" customHeight="1">
      <c r="B22" s="24" t="s">
        <v>171</v>
      </c>
      <c r="C22" s="15" t="s">
        <v>94</v>
      </c>
      <c r="D22" s="32"/>
      <c r="F22" s="156"/>
    </row>
    <row r="23" spans="2:4" ht="18" customHeight="1">
      <c r="B23" s="24" t="s">
        <v>185</v>
      </c>
      <c r="C23" s="15" t="s">
        <v>94</v>
      </c>
      <c r="D23" s="32"/>
    </row>
    <row r="24" spans="2:4" ht="18" customHeight="1">
      <c r="B24" s="24" t="s">
        <v>186</v>
      </c>
      <c r="C24" s="15" t="s">
        <v>94</v>
      </c>
      <c r="D24" s="32"/>
    </row>
    <row r="25" spans="2:4" ht="18" customHeight="1">
      <c r="B25" s="24" t="s">
        <v>9</v>
      </c>
      <c r="C25" s="15" t="s">
        <v>96</v>
      </c>
      <c r="D25" s="32"/>
    </row>
    <row r="26" spans="2:4" ht="18" customHeight="1">
      <c r="B26" s="24" t="s">
        <v>10</v>
      </c>
      <c r="C26" s="15" t="s">
        <v>96</v>
      </c>
      <c r="D26" s="32"/>
    </row>
    <row r="27" spans="2:4" ht="18" customHeight="1">
      <c r="B27" s="24" t="s">
        <v>11</v>
      </c>
      <c r="C27" s="15" t="s">
        <v>96</v>
      </c>
      <c r="D27" s="32"/>
    </row>
    <row r="28" spans="2:4" ht="18" customHeight="1">
      <c r="B28" s="24" t="s">
        <v>12</v>
      </c>
      <c r="C28" s="15" t="s">
        <v>96</v>
      </c>
      <c r="D28" s="32"/>
    </row>
    <row r="29" spans="2:4" ht="18" customHeight="1">
      <c r="B29" s="24" t="s">
        <v>13</v>
      </c>
      <c r="C29" s="15" t="s">
        <v>96</v>
      </c>
      <c r="D29" s="32"/>
    </row>
    <row r="30" spans="2:4" ht="18" customHeight="1">
      <c r="B30" s="24" t="s">
        <v>14</v>
      </c>
      <c r="C30" s="15" t="s">
        <v>96</v>
      </c>
      <c r="D30" s="32"/>
    </row>
    <row r="31" spans="2:4" ht="18" customHeight="1">
      <c r="B31" s="24" t="s">
        <v>4</v>
      </c>
      <c r="C31" s="15" t="s">
        <v>96</v>
      </c>
      <c r="D31" s="32"/>
    </row>
    <row r="32" spans="2:4" ht="18" customHeight="1">
      <c r="B32" s="25" t="s">
        <v>92</v>
      </c>
      <c r="C32" s="16" t="s">
        <v>94</v>
      </c>
      <c r="D32" s="33"/>
    </row>
    <row r="33" ht="18" customHeight="1">
      <c r="B33" s="8"/>
    </row>
    <row r="34" ht="24.75" customHeight="1">
      <c r="B34" s="30"/>
    </row>
    <row r="35" spans="2:4" ht="18" customHeight="1">
      <c r="B35" s="80" t="s">
        <v>28</v>
      </c>
      <c r="C35" s="17" t="s">
        <v>22</v>
      </c>
      <c r="D35" s="17" t="s">
        <v>86</v>
      </c>
    </row>
    <row r="36" spans="2:4" ht="15.75">
      <c r="B36" s="14" t="s">
        <v>8</v>
      </c>
      <c r="C36" s="14" t="s">
        <v>189</v>
      </c>
      <c r="D36" s="31"/>
    </row>
    <row r="37" spans="2:4" ht="15.75">
      <c r="B37" s="16" t="s">
        <v>93</v>
      </c>
      <c r="C37" s="16" t="s">
        <v>189</v>
      </c>
      <c r="D37" s="33"/>
    </row>
    <row r="39" spans="2:4" ht="17.25">
      <c r="B39" s="17" t="s">
        <v>132</v>
      </c>
      <c r="C39" s="17" t="s">
        <v>22</v>
      </c>
      <c r="D39" s="27" t="s">
        <v>86</v>
      </c>
    </row>
    <row r="40" spans="2:4" ht="15.75">
      <c r="B40" s="25" t="s">
        <v>116</v>
      </c>
      <c r="C40" s="61" t="s">
        <v>112</v>
      </c>
      <c r="D40" s="157"/>
    </row>
  </sheetData>
  <sheetProtection/>
  <dataValidations count="2">
    <dataValidation type="list" allowBlank="1" showInputMessage="1" showErrorMessage="1" sqref="B36">
      <formula1>Energy3</formula1>
    </dataValidation>
    <dataValidation type="list" allowBlank="1" showInputMessage="1" showErrorMessage="1" sqref="B37">
      <formula1>Energy4</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91"/>
  <sheetViews>
    <sheetView showGridLines="0" zoomScale="80" zoomScaleNormal="80" zoomScalePageLayoutView="0" workbookViewId="0" topLeftCell="A1">
      <selection activeCell="A36" sqref="A36"/>
    </sheetView>
  </sheetViews>
  <sheetFormatPr defaultColWidth="9.140625" defaultRowHeight="15"/>
  <cols>
    <col min="1" max="1" width="84.7109375" style="3" bestFit="1" customWidth="1"/>
    <col min="2" max="2" width="28.140625" style="1" customWidth="1"/>
    <col min="3" max="3" width="21.7109375" style="1" customWidth="1"/>
    <col min="4" max="4" width="9.00390625" style="1" bestFit="1" customWidth="1"/>
    <col min="5" max="5" width="28.140625" style="1" customWidth="1"/>
    <col min="6" max="6" width="21.7109375" style="1" customWidth="1"/>
    <col min="7" max="7" width="12.8515625" style="1" bestFit="1" customWidth="1"/>
    <col min="8" max="8" width="9.57421875" style="1" bestFit="1" customWidth="1"/>
    <col min="9" max="9" width="9.140625" style="1" customWidth="1"/>
    <col min="10" max="11" width="11.57421875" style="1" bestFit="1" customWidth="1"/>
    <col min="12" max="16384" width="9.140625" style="1"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7"/>
      <c r="C9" s="7"/>
      <c r="D9" s="7"/>
      <c r="E9" s="7"/>
      <c r="F9" s="7"/>
      <c r="G9" s="7"/>
    </row>
    <row r="10" spans="2:7" ht="15.75">
      <c r="B10" s="7"/>
      <c r="C10" s="7"/>
      <c r="D10" s="7"/>
      <c r="E10" s="7"/>
      <c r="F10" s="7"/>
      <c r="G10" s="7"/>
    </row>
    <row r="11" spans="1:7" ht="19.5" customHeight="1">
      <c r="A11" s="40"/>
      <c r="B11" s="164" t="s">
        <v>173</v>
      </c>
      <c r="C11" s="164"/>
      <c r="D11" s="165"/>
      <c r="E11" s="166" t="s">
        <v>174</v>
      </c>
      <c r="F11" s="166"/>
      <c r="G11" s="167"/>
    </row>
    <row r="12" spans="1:7" ht="19.5" customHeight="1">
      <c r="A12" s="41" t="s">
        <v>25</v>
      </c>
      <c r="B12" s="74" t="s">
        <v>27</v>
      </c>
      <c r="C12" s="74" t="s">
        <v>26</v>
      </c>
      <c r="D12" s="51" t="s">
        <v>22</v>
      </c>
      <c r="E12" s="41" t="s">
        <v>27</v>
      </c>
      <c r="F12" s="41" t="s">
        <v>26</v>
      </c>
      <c r="G12" s="42" t="s">
        <v>22</v>
      </c>
    </row>
    <row r="13" spans="1:9" s="2" customFormat="1" ht="19.5" customHeight="1">
      <c r="A13" s="23" t="s">
        <v>133</v>
      </c>
      <c r="B13" s="109">
        <v>26005.37</v>
      </c>
      <c r="C13" s="109">
        <v>3.127</v>
      </c>
      <c r="D13" s="26" t="s">
        <v>140</v>
      </c>
      <c r="E13" s="142">
        <v>1382.338</v>
      </c>
      <c r="F13" s="142">
        <v>12.554</v>
      </c>
      <c r="G13" s="24" t="s">
        <v>141</v>
      </c>
      <c r="H13" s="155"/>
      <c r="I13" s="155"/>
    </row>
    <row r="14" spans="1:9" s="2" customFormat="1" ht="19.5" customHeight="1">
      <c r="A14" s="24" t="s">
        <v>137</v>
      </c>
      <c r="B14" s="63">
        <v>42850.54</v>
      </c>
      <c r="C14" s="63">
        <v>4.69</v>
      </c>
      <c r="D14" s="26" t="s">
        <v>140</v>
      </c>
      <c r="E14" s="140">
        <v>1996</v>
      </c>
      <c r="F14" s="140">
        <v>18.831</v>
      </c>
      <c r="G14" s="24" t="s">
        <v>141</v>
      </c>
      <c r="H14" s="155"/>
      <c r="I14" s="155"/>
    </row>
    <row r="15" spans="1:9" s="2" customFormat="1" ht="19.5" customHeight="1">
      <c r="A15" s="24" t="s">
        <v>135</v>
      </c>
      <c r="B15" s="63">
        <v>24187</v>
      </c>
      <c r="C15" s="63">
        <v>12</v>
      </c>
      <c r="D15" s="26" t="s">
        <v>140</v>
      </c>
      <c r="E15" s="140">
        <v>1380</v>
      </c>
      <c r="F15" s="140">
        <v>21</v>
      </c>
      <c r="G15" s="24" t="s">
        <v>141</v>
      </c>
      <c r="H15" s="155"/>
      <c r="I15" s="155"/>
    </row>
    <row r="16" spans="1:9" s="2" customFormat="1" ht="19.5" customHeight="1">
      <c r="A16" s="24" t="s">
        <v>7</v>
      </c>
      <c r="B16" s="144">
        <v>41.953</v>
      </c>
      <c r="C16" s="147">
        <v>0</v>
      </c>
      <c r="D16" s="26" t="s">
        <v>143</v>
      </c>
      <c r="E16" s="140">
        <v>2.096</v>
      </c>
      <c r="F16" s="148">
        <v>0</v>
      </c>
      <c r="G16" s="24" t="s">
        <v>146</v>
      </c>
      <c r="H16" s="155"/>
      <c r="I16" s="155"/>
    </row>
    <row r="17" spans="1:9" s="2" customFormat="1" ht="19.5" customHeight="1">
      <c r="A17" s="24" t="s">
        <v>136</v>
      </c>
      <c r="B17" s="63">
        <v>6781.86</v>
      </c>
      <c r="C17" s="63">
        <v>61.51</v>
      </c>
      <c r="D17" s="26" t="s">
        <v>140</v>
      </c>
      <c r="E17" s="140">
        <v>365.71</v>
      </c>
      <c r="F17" s="140">
        <v>12.04</v>
      </c>
      <c r="G17" s="24" t="s">
        <v>141</v>
      </c>
      <c r="H17" s="155"/>
      <c r="I17" s="155"/>
    </row>
    <row r="18" spans="1:9" s="2" customFormat="1" ht="19.5" customHeight="1">
      <c r="A18" s="24" t="s">
        <v>134</v>
      </c>
      <c r="B18" s="63">
        <v>8131.097</v>
      </c>
      <c r="C18" s="63">
        <v>7.833</v>
      </c>
      <c r="D18" s="26" t="s">
        <v>140</v>
      </c>
      <c r="E18" s="140">
        <v>1550.461</v>
      </c>
      <c r="F18" s="140">
        <v>25.818</v>
      </c>
      <c r="G18" s="24" t="s">
        <v>141</v>
      </c>
      <c r="H18" s="155"/>
      <c r="I18" s="155"/>
    </row>
    <row r="19" spans="1:9" s="2" customFormat="1" ht="19.5" customHeight="1">
      <c r="A19" s="24" t="s">
        <v>169</v>
      </c>
      <c r="B19" s="63">
        <v>2950.693</v>
      </c>
      <c r="C19" s="63">
        <v>10.739</v>
      </c>
      <c r="D19" s="26" t="s">
        <v>140</v>
      </c>
      <c r="E19" s="140">
        <v>149.976</v>
      </c>
      <c r="F19" s="140">
        <v>3.134</v>
      </c>
      <c r="G19" s="24" t="s">
        <v>141</v>
      </c>
      <c r="H19" s="155"/>
      <c r="I19" s="155"/>
    </row>
    <row r="20" spans="1:9" s="2" customFormat="1" ht="19.5" customHeight="1">
      <c r="A20" s="24" t="s">
        <v>16</v>
      </c>
      <c r="B20" s="63">
        <v>1579.694</v>
      </c>
      <c r="C20" s="63">
        <v>12.982</v>
      </c>
      <c r="D20" s="26" t="s">
        <v>144</v>
      </c>
      <c r="E20" s="140">
        <v>86.967</v>
      </c>
      <c r="F20" s="140">
        <v>3.941</v>
      </c>
      <c r="G20" s="24" t="s">
        <v>147</v>
      </c>
      <c r="H20" s="155"/>
      <c r="I20" s="155"/>
    </row>
    <row r="21" spans="1:9" s="2" customFormat="1" ht="19.5" customHeight="1">
      <c r="A21" s="24" t="s">
        <v>17</v>
      </c>
      <c r="B21" s="63">
        <v>1742.094</v>
      </c>
      <c r="C21" s="63">
        <v>10.182</v>
      </c>
      <c r="D21" s="26" t="s">
        <v>144</v>
      </c>
      <c r="E21" s="140">
        <v>99.031</v>
      </c>
      <c r="F21" s="140">
        <v>4.241</v>
      </c>
      <c r="G21" s="24" t="s">
        <v>147</v>
      </c>
      <c r="H21" s="155"/>
      <c r="I21" s="155"/>
    </row>
    <row r="22" spans="1:9" s="2" customFormat="1" ht="19.5" customHeight="1">
      <c r="A22" s="24" t="s">
        <v>5</v>
      </c>
      <c r="B22" s="63">
        <v>52.165</v>
      </c>
      <c r="C22" s="63">
        <v>0.183</v>
      </c>
      <c r="D22" s="26" t="s">
        <v>143</v>
      </c>
      <c r="E22" s="140">
        <v>1.591</v>
      </c>
      <c r="F22" s="140">
        <v>1.434</v>
      </c>
      <c r="G22" s="24" t="s">
        <v>152</v>
      </c>
      <c r="H22" s="155"/>
      <c r="I22" s="155"/>
    </row>
    <row r="23" spans="1:9" ht="19.5" customHeight="1">
      <c r="A23" s="24" t="s">
        <v>91</v>
      </c>
      <c r="B23" s="75">
        <v>14811.72</v>
      </c>
      <c r="C23" s="75">
        <v>21.316</v>
      </c>
      <c r="D23" s="26" t="s">
        <v>140</v>
      </c>
      <c r="E23" s="141">
        <v>783.31</v>
      </c>
      <c r="F23" s="141">
        <v>12.711</v>
      </c>
      <c r="G23" s="24" t="s">
        <v>141</v>
      </c>
      <c r="H23" s="155"/>
      <c r="I23" s="155"/>
    </row>
    <row r="24" spans="1:9" ht="19.5" customHeight="1">
      <c r="A24" s="24" t="s">
        <v>179</v>
      </c>
      <c r="B24" s="75">
        <v>14348</v>
      </c>
      <c r="C24" s="75">
        <v>9</v>
      </c>
      <c r="D24" s="26" t="s">
        <v>140</v>
      </c>
      <c r="E24" s="141">
        <v>770</v>
      </c>
      <c r="F24" s="141">
        <v>105</v>
      </c>
      <c r="G24" s="24" t="s">
        <v>141</v>
      </c>
      <c r="H24" s="155"/>
      <c r="I24" s="155"/>
    </row>
    <row r="25" spans="1:9" ht="19.5" customHeight="1">
      <c r="A25" s="24" t="s">
        <v>4</v>
      </c>
      <c r="B25" s="75">
        <v>65.483</v>
      </c>
      <c r="C25" s="75">
        <v>0.332</v>
      </c>
      <c r="D25" s="26" t="s">
        <v>145</v>
      </c>
      <c r="E25" s="141">
        <v>2.633</v>
      </c>
      <c r="F25" s="141">
        <v>0.097</v>
      </c>
      <c r="G25" s="24" t="s">
        <v>148</v>
      </c>
      <c r="H25" s="155"/>
      <c r="I25" s="155"/>
    </row>
    <row r="26" spans="1:9" ht="19.5" customHeight="1">
      <c r="A26" s="24" t="s">
        <v>92</v>
      </c>
      <c r="B26" s="75">
        <v>118.176</v>
      </c>
      <c r="C26" s="75">
        <v>0.374</v>
      </c>
      <c r="D26" s="26" t="s">
        <v>140</v>
      </c>
      <c r="E26" s="141">
        <v>6.913</v>
      </c>
      <c r="F26" s="141">
        <v>0.08</v>
      </c>
      <c r="G26" s="24" t="s">
        <v>141</v>
      </c>
      <c r="H26" s="155"/>
      <c r="I26" s="155"/>
    </row>
    <row r="27" spans="1:9" ht="19.5" customHeight="1">
      <c r="A27" s="25" t="s">
        <v>6</v>
      </c>
      <c r="B27" s="143">
        <v>0.019</v>
      </c>
      <c r="C27" s="146">
        <v>0</v>
      </c>
      <c r="D27" s="78" t="s">
        <v>143</v>
      </c>
      <c r="E27" s="145">
        <v>0.000794</v>
      </c>
      <c r="F27" s="149">
        <v>0</v>
      </c>
      <c r="G27" s="25" t="s">
        <v>146</v>
      </c>
      <c r="H27" s="155"/>
      <c r="I27" s="155"/>
    </row>
    <row r="28" spans="1:7" ht="18" customHeight="1">
      <c r="A28" s="154"/>
      <c r="B28" s="34"/>
      <c r="C28" s="35"/>
      <c r="D28" s="35"/>
      <c r="E28" s="34"/>
      <c r="F28" s="35"/>
      <c r="G28" s="36"/>
    </row>
    <row r="29" spans="1:7" ht="18" customHeight="1">
      <c r="A29" s="40"/>
      <c r="B29" s="164" t="s">
        <v>173</v>
      </c>
      <c r="C29" s="164"/>
      <c r="D29" s="165"/>
      <c r="E29" s="166" t="s">
        <v>174</v>
      </c>
      <c r="F29" s="166"/>
      <c r="G29" s="167"/>
    </row>
    <row r="30" spans="1:7" ht="18" customHeight="1">
      <c r="A30" s="41" t="s">
        <v>28</v>
      </c>
      <c r="B30" s="110" t="s">
        <v>86</v>
      </c>
      <c r="C30" s="51" t="s">
        <v>22</v>
      </c>
      <c r="D30" s="117"/>
      <c r="E30" s="111" t="s">
        <v>86</v>
      </c>
      <c r="F30" s="42" t="s">
        <v>22</v>
      </c>
      <c r="G30" s="42"/>
    </row>
    <row r="31" spans="1:7" ht="18" customHeight="1">
      <c r="A31" s="43" t="s">
        <v>8</v>
      </c>
      <c r="B31" s="109"/>
      <c r="C31" s="77"/>
      <c r="D31" s="118"/>
      <c r="E31" s="108"/>
      <c r="F31" s="62"/>
      <c r="G31" s="121"/>
    </row>
    <row r="32" spans="1:7" ht="19.5" customHeight="1">
      <c r="A32" s="24" t="s">
        <v>53</v>
      </c>
      <c r="B32" s="63">
        <v>12.28866886967939</v>
      </c>
      <c r="C32" s="26" t="s">
        <v>97</v>
      </c>
      <c r="D32" s="119"/>
      <c r="E32" s="138">
        <v>0.5640665787536201</v>
      </c>
      <c r="F32" s="24" t="s">
        <v>98</v>
      </c>
      <c r="G32" s="122"/>
    </row>
    <row r="33" spans="1:7" ht="19.5" customHeight="1">
      <c r="A33" s="24" t="s">
        <v>52</v>
      </c>
      <c r="B33" s="63">
        <v>8.065892772671177</v>
      </c>
      <c r="C33" s="26" t="s">
        <v>97</v>
      </c>
      <c r="D33" s="119"/>
      <c r="E33" s="138">
        <v>0.35782277792710643</v>
      </c>
      <c r="F33" s="24" t="s">
        <v>98</v>
      </c>
      <c r="G33" s="122"/>
    </row>
    <row r="34" spans="1:7" ht="19.5" customHeight="1">
      <c r="A34" s="24" t="s">
        <v>54</v>
      </c>
      <c r="B34" s="63">
        <v>12.512154419042936</v>
      </c>
      <c r="C34" s="26" t="s">
        <v>97</v>
      </c>
      <c r="D34" s="119"/>
      <c r="E34" s="138">
        <v>0.36414487090095227</v>
      </c>
      <c r="F34" s="24" t="s">
        <v>98</v>
      </c>
      <c r="G34" s="122"/>
    </row>
    <row r="35" spans="1:7" ht="19.5" customHeight="1">
      <c r="A35" s="24" t="s">
        <v>55</v>
      </c>
      <c r="B35" s="63">
        <v>15.523847350284765</v>
      </c>
      <c r="C35" s="26" t="s">
        <v>97</v>
      </c>
      <c r="D35" s="119"/>
      <c r="E35" s="138">
        <v>0.788923417393262</v>
      </c>
      <c r="F35" s="24" t="s">
        <v>98</v>
      </c>
      <c r="G35" s="122"/>
    </row>
    <row r="36" spans="1:7" ht="19.5" customHeight="1">
      <c r="A36" s="24" t="s">
        <v>56</v>
      </c>
      <c r="B36" s="63">
        <v>10.837793429695552</v>
      </c>
      <c r="C36" s="26" t="s">
        <v>97</v>
      </c>
      <c r="D36" s="119"/>
      <c r="E36" s="138">
        <v>0.42496162689240646</v>
      </c>
      <c r="F36" s="24" t="s">
        <v>98</v>
      </c>
      <c r="G36" s="122"/>
    </row>
    <row r="37" spans="1:7" ht="19.5" customHeight="1">
      <c r="A37" s="24" t="s">
        <v>57</v>
      </c>
      <c r="B37" s="63">
        <v>13.190667855664849</v>
      </c>
      <c r="C37" s="26" t="s">
        <v>97</v>
      </c>
      <c r="D37" s="119"/>
      <c r="E37" s="138">
        <v>0.88466389448935</v>
      </c>
      <c r="F37" s="24" t="s">
        <v>98</v>
      </c>
      <c r="G37" s="122"/>
    </row>
    <row r="38" spans="1:7" ht="19.5" customHeight="1">
      <c r="A38" s="24" t="s">
        <v>58</v>
      </c>
      <c r="B38" s="63">
        <v>10.735440201919175</v>
      </c>
      <c r="C38" s="26" t="s">
        <v>97</v>
      </c>
      <c r="D38" s="119"/>
      <c r="E38" s="138">
        <v>0.6975155546505348</v>
      </c>
      <c r="F38" s="24" t="s">
        <v>98</v>
      </c>
      <c r="G38" s="122"/>
    </row>
    <row r="39" spans="1:7" ht="19.5" customHeight="1">
      <c r="A39" s="24" t="s">
        <v>59</v>
      </c>
      <c r="B39" s="63">
        <v>12.49084408132875</v>
      </c>
      <c r="C39" s="26" t="s">
        <v>97</v>
      </c>
      <c r="D39" s="119"/>
      <c r="E39" s="138">
        <v>0.43820642230493173</v>
      </c>
      <c r="F39" s="24" t="s">
        <v>98</v>
      </c>
      <c r="G39" s="122"/>
    </row>
    <row r="40" spans="1:7" ht="19.5" customHeight="1">
      <c r="A40" s="24" t="s">
        <v>60</v>
      </c>
      <c r="B40" s="63">
        <v>13.627172082639401</v>
      </c>
      <c r="C40" s="26" t="s">
        <v>97</v>
      </c>
      <c r="D40" s="119"/>
      <c r="E40" s="138">
        <v>0.10543952722080681</v>
      </c>
      <c r="F40" s="24" t="s">
        <v>98</v>
      </c>
      <c r="G40" s="122"/>
    </row>
    <row r="41" spans="1:7" ht="19.5" customHeight="1">
      <c r="A41" s="24" t="s">
        <v>61</v>
      </c>
      <c r="B41" s="63">
        <v>12.662411329595765</v>
      </c>
      <c r="C41" s="26" t="s">
        <v>97</v>
      </c>
      <c r="D41" s="119"/>
      <c r="E41" s="138">
        <v>0.7481108402730136</v>
      </c>
      <c r="F41" s="24" t="s">
        <v>98</v>
      </c>
      <c r="G41" s="122"/>
    </row>
    <row r="42" spans="1:7" ht="19.5" customHeight="1">
      <c r="A42" s="24" t="s">
        <v>62</v>
      </c>
      <c r="B42" s="63">
        <v>18.65884984909758</v>
      </c>
      <c r="C42" s="26" t="s">
        <v>97</v>
      </c>
      <c r="D42" s="119"/>
      <c r="E42" s="140">
        <v>1.1772127198864677</v>
      </c>
      <c r="F42" s="24" t="s">
        <v>98</v>
      </c>
      <c r="G42" s="122"/>
    </row>
    <row r="43" spans="1:7" ht="19.5" customHeight="1">
      <c r="A43" s="24" t="s">
        <v>63</v>
      </c>
      <c r="B43" s="63">
        <v>17.05185051644113</v>
      </c>
      <c r="C43" s="26" t="s">
        <v>97</v>
      </c>
      <c r="D43" s="119"/>
      <c r="E43" s="138">
        <v>0.8354697177951619</v>
      </c>
      <c r="F43" s="24" t="s">
        <v>98</v>
      </c>
      <c r="G43" s="122"/>
    </row>
    <row r="44" spans="1:7" ht="19.5" customHeight="1">
      <c r="A44" s="24" t="s">
        <v>64</v>
      </c>
      <c r="B44" s="63">
        <v>13.059732838441164</v>
      </c>
      <c r="C44" s="26" t="s">
        <v>97</v>
      </c>
      <c r="D44" s="119"/>
      <c r="E44" s="138">
        <v>0.9022051618277649</v>
      </c>
      <c r="F44" s="24" t="s">
        <v>98</v>
      </c>
      <c r="G44" s="122"/>
    </row>
    <row r="45" spans="1:7" ht="19.5" customHeight="1">
      <c r="A45" s="24" t="s">
        <v>65</v>
      </c>
      <c r="B45" s="63">
        <v>10.705034937318649</v>
      </c>
      <c r="C45" s="26" t="s">
        <v>97</v>
      </c>
      <c r="D45" s="119"/>
      <c r="E45" s="138">
        <v>0.7188987941457068</v>
      </c>
      <c r="F45" s="24" t="s">
        <v>98</v>
      </c>
      <c r="G45" s="122"/>
    </row>
    <row r="46" spans="1:7" ht="19.5" customHeight="1">
      <c r="A46" s="24" t="s">
        <v>66</v>
      </c>
      <c r="B46" s="63">
        <v>10.816168340971544</v>
      </c>
      <c r="C46" s="26" t="s">
        <v>97</v>
      </c>
      <c r="D46" s="119"/>
      <c r="E46" s="138">
        <v>0.6030163954911086</v>
      </c>
      <c r="F46" s="24" t="s">
        <v>98</v>
      </c>
      <c r="G46" s="122"/>
    </row>
    <row r="47" spans="1:7" ht="19.5" customHeight="1">
      <c r="A47" s="24" t="s">
        <v>67</v>
      </c>
      <c r="B47" s="63">
        <v>11.845163579521621</v>
      </c>
      <c r="C47" s="26" t="s">
        <v>97</v>
      </c>
      <c r="D47" s="119"/>
      <c r="E47" s="138">
        <v>0.743479531004244</v>
      </c>
      <c r="F47" s="24" t="s">
        <v>98</v>
      </c>
      <c r="G47" s="122"/>
    </row>
    <row r="48" spans="1:7" ht="19.5" customHeight="1">
      <c r="A48" s="24" t="s">
        <v>68</v>
      </c>
      <c r="B48" s="63">
        <v>16.05050143990944</v>
      </c>
      <c r="C48" s="26" t="s">
        <v>97</v>
      </c>
      <c r="D48" s="119"/>
      <c r="E48" s="140">
        <v>1.3741028207236248</v>
      </c>
      <c r="F48" s="24" t="s">
        <v>98</v>
      </c>
      <c r="G48" s="122"/>
    </row>
    <row r="49" spans="1:7" ht="19.5" customHeight="1">
      <c r="A49" s="24" t="s">
        <v>69</v>
      </c>
      <c r="B49" s="63">
        <v>11.519051650790797</v>
      </c>
      <c r="C49" s="26" t="s">
        <v>97</v>
      </c>
      <c r="D49" s="119"/>
      <c r="E49" s="138">
        <v>0.7132401271463382</v>
      </c>
      <c r="F49" s="24" t="s">
        <v>98</v>
      </c>
      <c r="G49" s="122"/>
    </row>
    <row r="50" spans="1:7" ht="19.5" customHeight="1">
      <c r="A50" s="24" t="s">
        <v>70</v>
      </c>
      <c r="B50" s="63">
        <v>12.420295625141417</v>
      </c>
      <c r="C50" s="26" t="s">
        <v>97</v>
      </c>
      <c r="D50" s="119"/>
      <c r="E50" s="138">
        <v>0.8071359201054558</v>
      </c>
      <c r="F50" s="24" t="s">
        <v>98</v>
      </c>
      <c r="G50" s="122"/>
    </row>
    <row r="51" spans="1:7" ht="19.5" customHeight="1">
      <c r="A51" s="24" t="s">
        <v>71</v>
      </c>
      <c r="B51" s="63">
        <v>12.809767239674287</v>
      </c>
      <c r="C51" s="26" t="s">
        <v>97</v>
      </c>
      <c r="D51" s="119"/>
      <c r="E51" s="138">
        <v>0.41372811566214496</v>
      </c>
      <c r="F51" s="24" t="s">
        <v>98</v>
      </c>
      <c r="G51" s="122"/>
    </row>
    <row r="52" spans="1:7" ht="19.5" customHeight="1">
      <c r="A52" s="24" t="s">
        <v>72</v>
      </c>
      <c r="B52" s="63">
        <v>10.385296869344828</v>
      </c>
      <c r="C52" s="26" t="s">
        <v>97</v>
      </c>
      <c r="D52" s="119"/>
      <c r="E52" s="138">
        <v>0.5586197478828578</v>
      </c>
      <c r="F52" s="24" t="s">
        <v>98</v>
      </c>
      <c r="G52" s="122"/>
    </row>
    <row r="53" spans="1:7" ht="19.5" customHeight="1">
      <c r="A53" s="24" t="s">
        <v>73</v>
      </c>
      <c r="B53" s="63">
        <v>12.1682833954288</v>
      </c>
      <c r="C53" s="26" t="s">
        <v>97</v>
      </c>
      <c r="D53" s="119"/>
      <c r="E53" s="138">
        <v>0.6062698433291043</v>
      </c>
      <c r="F53" s="24" t="s">
        <v>98</v>
      </c>
      <c r="G53" s="122"/>
    </row>
    <row r="54" spans="1:7" ht="19.5" customHeight="1">
      <c r="A54" s="24" t="s">
        <v>74</v>
      </c>
      <c r="B54" s="63">
        <v>10.547366139084515</v>
      </c>
      <c r="C54" s="26" t="s">
        <v>97</v>
      </c>
      <c r="D54" s="119"/>
      <c r="E54" s="138">
        <v>0.05101340983441813</v>
      </c>
      <c r="F54" s="24" t="s">
        <v>98</v>
      </c>
      <c r="G54" s="122"/>
    </row>
    <row r="55" spans="1:7" ht="19.5" customHeight="1">
      <c r="A55" s="24" t="s">
        <v>75</v>
      </c>
      <c r="B55" s="63">
        <v>8.677570642902007</v>
      </c>
      <c r="C55" s="26" t="s">
        <v>97</v>
      </c>
      <c r="D55" s="119"/>
      <c r="E55" s="138">
        <v>0.029757584878190323</v>
      </c>
      <c r="F55" s="24" t="s">
        <v>98</v>
      </c>
      <c r="G55" s="122"/>
    </row>
    <row r="56" spans="1:7" ht="19.5" customHeight="1">
      <c r="A56" s="24" t="s">
        <v>76</v>
      </c>
      <c r="B56" s="63">
        <v>12.368906279597478</v>
      </c>
      <c r="C56" s="26" t="s">
        <v>97</v>
      </c>
      <c r="D56" s="119"/>
      <c r="E56" s="138">
        <v>0.7024891603271252</v>
      </c>
      <c r="F56" s="24" t="s">
        <v>98</v>
      </c>
      <c r="G56" s="122"/>
    </row>
    <row r="57" spans="1:7" ht="19.5" customHeight="1">
      <c r="A57" s="24" t="s">
        <v>21</v>
      </c>
      <c r="B57" s="63">
        <v>9.057</v>
      </c>
      <c r="C57" s="26" t="s">
        <v>97</v>
      </c>
      <c r="D57" s="119"/>
      <c r="E57" s="138">
        <v>0.44628264179845795</v>
      </c>
      <c r="F57" s="24" t="s">
        <v>98</v>
      </c>
      <c r="G57" s="122"/>
    </row>
    <row r="58" spans="1:7" ht="19.5" customHeight="1">
      <c r="A58" s="24" t="s">
        <v>29</v>
      </c>
      <c r="B58" s="63">
        <v>12.487508333761681</v>
      </c>
      <c r="C58" s="26" t="s">
        <v>97</v>
      </c>
      <c r="D58" s="119"/>
      <c r="E58" s="138">
        <v>0.366988283436517</v>
      </c>
      <c r="F58" s="24" t="s">
        <v>98</v>
      </c>
      <c r="G58" s="122"/>
    </row>
    <row r="59" spans="1:7" ht="19.5" customHeight="1">
      <c r="A59" s="24" t="s">
        <v>30</v>
      </c>
      <c r="B59" s="63">
        <v>15.484510950232943</v>
      </c>
      <c r="C59" s="26" t="s">
        <v>97</v>
      </c>
      <c r="D59" s="119"/>
      <c r="E59" s="138">
        <v>0.7904981377172272</v>
      </c>
      <c r="F59" s="24" t="s">
        <v>98</v>
      </c>
      <c r="G59" s="122"/>
    </row>
    <row r="60" spans="1:7" ht="19.5" customHeight="1">
      <c r="A60" s="24" t="s">
        <v>40</v>
      </c>
      <c r="B60" s="63">
        <v>12.466674632278172</v>
      </c>
      <c r="C60" s="26" t="s">
        <v>97</v>
      </c>
      <c r="D60" s="119"/>
      <c r="E60" s="138">
        <v>0.5973368030587951</v>
      </c>
      <c r="F60" s="24" t="s">
        <v>98</v>
      </c>
      <c r="G60" s="122"/>
    </row>
    <row r="61" spans="1:7" ht="19.5" customHeight="1">
      <c r="A61" s="24" t="s">
        <v>32</v>
      </c>
      <c r="B61" s="63">
        <v>13.413940093805358</v>
      </c>
      <c r="C61" s="26" t="s">
        <v>97</v>
      </c>
      <c r="D61" s="119"/>
      <c r="E61" s="138">
        <v>0.9266083201487562</v>
      </c>
      <c r="F61" s="24" t="s">
        <v>98</v>
      </c>
      <c r="G61" s="122"/>
    </row>
    <row r="62" spans="1:7" ht="19.5" customHeight="1">
      <c r="A62" s="24" t="s">
        <v>34</v>
      </c>
      <c r="B62" s="63">
        <v>10.61101266676281</v>
      </c>
      <c r="C62" s="26" t="s">
        <v>97</v>
      </c>
      <c r="D62" s="119"/>
      <c r="E62" s="138">
        <v>0.6263149932872119</v>
      </c>
      <c r="F62" s="24" t="s">
        <v>98</v>
      </c>
      <c r="G62" s="122"/>
    </row>
    <row r="63" spans="1:7" ht="19.5" customHeight="1">
      <c r="A63" s="24" t="s">
        <v>36</v>
      </c>
      <c r="B63" s="63">
        <v>12.664438285004245</v>
      </c>
      <c r="C63" s="26" t="s">
        <v>97</v>
      </c>
      <c r="D63" s="119"/>
      <c r="E63" s="138">
        <v>0.5017550539838059</v>
      </c>
      <c r="F63" s="24" t="s">
        <v>98</v>
      </c>
      <c r="G63" s="122"/>
    </row>
    <row r="64" spans="1:7" ht="19.5" customHeight="1">
      <c r="A64" s="24" t="s">
        <v>37</v>
      </c>
      <c r="B64" s="63">
        <v>13.570799167938924</v>
      </c>
      <c r="C64" s="26" t="s">
        <v>97</v>
      </c>
      <c r="D64" s="119"/>
      <c r="E64" s="138">
        <v>0.10785301379734698</v>
      </c>
      <c r="F64" s="24" t="s">
        <v>98</v>
      </c>
      <c r="G64" s="122"/>
    </row>
    <row r="65" spans="1:7" ht="19.5" customHeight="1">
      <c r="A65" s="24" t="s">
        <v>33</v>
      </c>
      <c r="B65" s="63">
        <v>12.5798597769522</v>
      </c>
      <c r="C65" s="26" t="s">
        <v>97</v>
      </c>
      <c r="D65" s="119"/>
      <c r="E65" s="138">
        <v>0.7229270489327816</v>
      </c>
      <c r="F65" s="24" t="s">
        <v>98</v>
      </c>
      <c r="G65" s="122"/>
    </row>
    <row r="66" spans="1:7" ht="19.5" customHeight="1">
      <c r="A66" s="24" t="s">
        <v>39</v>
      </c>
      <c r="B66" s="63">
        <v>18.267737582218412</v>
      </c>
      <c r="C66" s="26" t="s">
        <v>97</v>
      </c>
      <c r="D66" s="119"/>
      <c r="E66" s="140">
        <v>1.1457546523555282</v>
      </c>
      <c r="F66" s="24" t="s">
        <v>98</v>
      </c>
      <c r="G66" s="122"/>
    </row>
    <row r="67" spans="1:7" ht="19.5" customHeight="1">
      <c r="A67" s="24" t="s">
        <v>41</v>
      </c>
      <c r="B67" s="63">
        <v>16.17590435939968</v>
      </c>
      <c r="C67" s="26" t="s">
        <v>97</v>
      </c>
      <c r="D67" s="119"/>
      <c r="E67" s="138">
        <v>0.7519943703503079</v>
      </c>
      <c r="F67" s="24" t="s">
        <v>98</v>
      </c>
      <c r="G67" s="122"/>
    </row>
    <row r="68" spans="1:7" ht="19.5" customHeight="1">
      <c r="A68" s="24" t="s">
        <v>42</v>
      </c>
      <c r="B68" s="63">
        <v>13.012298932181878</v>
      </c>
      <c r="C68" s="26" t="s">
        <v>97</v>
      </c>
      <c r="D68" s="119"/>
      <c r="E68" s="138">
        <v>0.8898533137459462</v>
      </c>
      <c r="F68" s="24" t="s">
        <v>98</v>
      </c>
      <c r="G68" s="122"/>
    </row>
    <row r="69" spans="1:7" ht="19.5" customHeight="1">
      <c r="A69" s="24" t="s">
        <v>43</v>
      </c>
      <c r="B69" s="63">
        <v>10.737176848486692</v>
      </c>
      <c r="C69" s="26" t="s">
        <v>97</v>
      </c>
      <c r="D69" s="119"/>
      <c r="E69" s="138">
        <v>0.643514343821497</v>
      </c>
      <c r="F69" s="24" t="s">
        <v>98</v>
      </c>
      <c r="G69" s="122"/>
    </row>
    <row r="70" spans="1:7" ht="19.5" customHeight="1">
      <c r="A70" s="24" t="s">
        <v>44</v>
      </c>
      <c r="B70" s="63">
        <v>12.109161825024843</v>
      </c>
      <c r="C70" s="26" t="s">
        <v>97</v>
      </c>
      <c r="D70" s="119"/>
      <c r="E70" s="138">
        <v>0.6428954589912446</v>
      </c>
      <c r="F70" s="24" t="s">
        <v>98</v>
      </c>
      <c r="G70" s="122"/>
    </row>
    <row r="71" spans="1:7" ht="19.5" customHeight="1">
      <c r="A71" s="24" t="s">
        <v>45</v>
      </c>
      <c r="B71" s="63">
        <v>11.918506343818695</v>
      </c>
      <c r="C71" s="26" t="s">
        <v>97</v>
      </c>
      <c r="D71" s="119"/>
      <c r="E71" s="138">
        <v>0.7271305231850163</v>
      </c>
      <c r="F71" s="24" t="s">
        <v>98</v>
      </c>
      <c r="G71" s="122"/>
    </row>
    <row r="72" spans="1:7" ht="19.5" customHeight="1">
      <c r="A72" s="24" t="s">
        <v>46</v>
      </c>
      <c r="B72" s="63">
        <v>14.182962694631957</v>
      </c>
      <c r="C72" s="26" t="s">
        <v>97</v>
      </c>
      <c r="D72" s="119"/>
      <c r="E72" s="140">
        <v>1.1998212414826828</v>
      </c>
      <c r="F72" s="24" t="s">
        <v>98</v>
      </c>
      <c r="G72" s="122"/>
    </row>
    <row r="73" spans="1:7" ht="19.5" customHeight="1">
      <c r="A73" s="24" t="s">
        <v>47</v>
      </c>
      <c r="B73" s="63">
        <v>11.61752426527986</v>
      </c>
      <c r="C73" s="26" t="s">
        <v>97</v>
      </c>
      <c r="D73" s="119"/>
      <c r="E73" s="138">
        <v>0.6959640108872182</v>
      </c>
      <c r="F73" s="24" t="s">
        <v>98</v>
      </c>
      <c r="G73" s="122"/>
    </row>
    <row r="74" spans="1:7" ht="19.5" customHeight="1">
      <c r="A74" s="24" t="s">
        <v>48</v>
      </c>
      <c r="B74" s="63">
        <v>12.499602056222304</v>
      </c>
      <c r="C74" s="26" t="s">
        <v>97</v>
      </c>
      <c r="D74" s="119"/>
      <c r="E74" s="138">
        <v>0.8098158493550874</v>
      </c>
      <c r="F74" s="24" t="s">
        <v>98</v>
      </c>
      <c r="G74" s="122"/>
    </row>
    <row r="75" spans="1:7" ht="19.5" customHeight="1">
      <c r="A75" s="24" t="s">
        <v>51</v>
      </c>
      <c r="B75" s="63">
        <v>11.93273677028558</v>
      </c>
      <c r="C75" s="26" t="s">
        <v>97</v>
      </c>
      <c r="D75" s="119"/>
      <c r="E75" s="138">
        <v>0.5057963089125365</v>
      </c>
      <c r="F75" s="24" t="s">
        <v>98</v>
      </c>
      <c r="G75" s="122"/>
    </row>
    <row r="76" spans="1:7" ht="19.5" customHeight="1">
      <c r="A76" s="24" t="s">
        <v>50</v>
      </c>
      <c r="B76" s="63">
        <v>9.950388203633345</v>
      </c>
      <c r="C76" s="26" t="s">
        <v>97</v>
      </c>
      <c r="D76" s="119"/>
      <c r="E76" s="138">
        <v>0.4872858881436115</v>
      </c>
      <c r="F76" s="24" t="s">
        <v>98</v>
      </c>
      <c r="G76" s="122"/>
    </row>
    <row r="77" spans="1:7" ht="19.5" customHeight="1">
      <c r="A77" s="24" t="s">
        <v>35</v>
      </c>
      <c r="B77" s="63">
        <v>12.208329564976685</v>
      </c>
      <c r="C77" s="26" t="s">
        <v>97</v>
      </c>
      <c r="D77" s="119"/>
      <c r="E77" s="138">
        <v>0.5964692099412366</v>
      </c>
      <c r="F77" s="24" t="s">
        <v>98</v>
      </c>
      <c r="G77" s="122"/>
    </row>
    <row r="78" spans="1:7" ht="19.5" customHeight="1">
      <c r="A78" s="24" t="s">
        <v>49</v>
      </c>
      <c r="B78" s="63">
        <v>10.655937371752202</v>
      </c>
      <c r="C78" s="26" t="s">
        <v>97</v>
      </c>
      <c r="D78" s="119"/>
      <c r="E78" s="138">
        <v>0.10195832804907509</v>
      </c>
      <c r="F78" s="24" t="s">
        <v>98</v>
      </c>
      <c r="G78" s="122"/>
    </row>
    <row r="79" spans="1:7" ht="19.5" customHeight="1">
      <c r="A79" s="24" t="s">
        <v>31</v>
      </c>
      <c r="B79" s="63">
        <v>10.983613037552056</v>
      </c>
      <c r="C79" s="26" t="s">
        <v>97</v>
      </c>
      <c r="D79" s="119"/>
      <c r="E79" s="138">
        <v>0.1489153097970829</v>
      </c>
      <c r="F79" s="24" t="s">
        <v>98</v>
      </c>
      <c r="G79" s="122"/>
    </row>
    <row r="80" spans="1:7" ht="19.5" customHeight="1">
      <c r="A80" s="24" t="s">
        <v>38</v>
      </c>
      <c r="B80" s="63">
        <v>12.41007063860485</v>
      </c>
      <c r="C80" s="26" t="s">
        <v>97</v>
      </c>
      <c r="D80" s="119"/>
      <c r="E80" s="138">
        <v>0.6875218589422852</v>
      </c>
      <c r="F80" s="24" t="s">
        <v>98</v>
      </c>
      <c r="G80" s="122"/>
    </row>
    <row r="81" spans="1:7" ht="19.5" customHeight="1">
      <c r="A81" s="24" t="s">
        <v>93</v>
      </c>
      <c r="B81" s="107"/>
      <c r="C81" s="26"/>
      <c r="D81" s="119"/>
      <c r="E81" s="106"/>
      <c r="F81" s="24"/>
      <c r="G81" s="122"/>
    </row>
    <row r="82" spans="1:7" ht="19.5" customHeight="1">
      <c r="A82" s="24" t="s">
        <v>78</v>
      </c>
      <c r="B82" s="63">
        <v>4.609985626889256</v>
      </c>
      <c r="C82" s="26" t="s">
        <v>97</v>
      </c>
      <c r="D82" s="119"/>
      <c r="E82" s="138">
        <v>0.2730136082491594</v>
      </c>
      <c r="F82" s="24" t="s">
        <v>98</v>
      </c>
      <c r="G82" s="122"/>
    </row>
    <row r="83" spans="1:7" ht="19.5" customHeight="1">
      <c r="A83" s="24" t="s">
        <v>77</v>
      </c>
      <c r="B83" s="63">
        <v>4.4439067245612724</v>
      </c>
      <c r="C83" s="26" t="s">
        <v>97</v>
      </c>
      <c r="D83" s="119"/>
      <c r="E83" s="138">
        <v>0.2652379739478075</v>
      </c>
      <c r="F83" s="24" t="s">
        <v>98</v>
      </c>
      <c r="G83" s="122"/>
    </row>
    <row r="84" spans="1:7" ht="19.5" customHeight="1">
      <c r="A84" s="24" t="s">
        <v>79</v>
      </c>
      <c r="B84" s="63">
        <v>4.482444365640331</v>
      </c>
      <c r="C84" s="26" t="s">
        <v>97</v>
      </c>
      <c r="D84" s="119"/>
      <c r="E84" s="138">
        <v>0.2670422647264524</v>
      </c>
      <c r="F84" s="24" t="s">
        <v>98</v>
      </c>
      <c r="G84" s="122"/>
    </row>
    <row r="85" spans="1:7" ht="19.5" customHeight="1">
      <c r="A85" s="24" t="s">
        <v>80</v>
      </c>
      <c r="B85" s="63">
        <v>4.304225320070023</v>
      </c>
      <c r="C85" s="26" t="s">
        <v>97</v>
      </c>
      <c r="D85" s="119"/>
      <c r="E85" s="138">
        <v>0.2475105773320445</v>
      </c>
      <c r="F85" s="24" t="s">
        <v>98</v>
      </c>
      <c r="G85" s="122"/>
    </row>
    <row r="86" spans="1:7" ht="19.5" customHeight="1">
      <c r="A86" s="24" t="s">
        <v>142</v>
      </c>
      <c r="B86" s="63">
        <v>4.737068100300626</v>
      </c>
      <c r="C86" s="26" t="s">
        <v>97</v>
      </c>
      <c r="D86" s="119"/>
      <c r="E86" s="138">
        <v>0.27896347252314574</v>
      </c>
      <c r="F86" s="24" t="s">
        <v>98</v>
      </c>
      <c r="G86" s="122"/>
    </row>
    <row r="87" spans="1:7" ht="19.5" customHeight="1">
      <c r="A87" s="24" t="s">
        <v>81</v>
      </c>
      <c r="B87" s="63">
        <v>4.482444365640331</v>
      </c>
      <c r="C87" s="26" t="s">
        <v>97</v>
      </c>
      <c r="D87" s="119"/>
      <c r="E87" s="138">
        <v>0.2670422647264524</v>
      </c>
      <c r="F87" s="24" t="s">
        <v>98</v>
      </c>
      <c r="G87" s="122"/>
    </row>
    <row r="88" spans="1:7" ht="19.5" customHeight="1">
      <c r="A88" s="24" t="s">
        <v>82</v>
      </c>
      <c r="B88" s="63">
        <v>4.482444365640331</v>
      </c>
      <c r="C88" s="26" t="s">
        <v>97</v>
      </c>
      <c r="D88" s="119"/>
      <c r="E88" s="138">
        <v>0.2670422647264524</v>
      </c>
      <c r="F88" s="24" t="s">
        <v>98</v>
      </c>
      <c r="G88" s="122"/>
    </row>
    <row r="89" spans="1:7" ht="19.5" customHeight="1">
      <c r="A89" s="24" t="s">
        <v>83</v>
      </c>
      <c r="B89" s="63">
        <v>4.304225320705678</v>
      </c>
      <c r="C89" s="26" t="s">
        <v>97</v>
      </c>
      <c r="D89" s="119"/>
      <c r="E89" s="138">
        <v>0.24751057765312146</v>
      </c>
      <c r="F89" s="24" t="s">
        <v>98</v>
      </c>
      <c r="G89" s="122"/>
    </row>
    <row r="90" spans="1:7" ht="19.5" customHeight="1">
      <c r="A90" s="24" t="s">
        <v>84</v>
      </c>
      <c r="B90" s="63">
        <v>4.304225373774396</v>
      </c>
      <c r="C90" s="26" t="s">
        <v>97</v>
      </c>
      <c r="D90" s="119"/>
      <c r="E90" s="138">
        <v>0.24712897842382547</v>
      </c>
      <c r="F90" s="24" t="s">
        <v>98</v>
      </c>
      <c r="G90" s="122"/>
    </row>
    <row r="91" spans="1:7" ht="19.5" customHeight="1">
      <c r="A91" s="25" t="s">
        <v>85</v>
      </c>
      <c r="B91" s="137">
        <v>4.444612529282803</v>
      </c>
      <c r="C91" s="52" t="s">
        <v>97</v>
      </c>
      <c r="D91" s="120"/>
      <c r="E91" s="139">
        <v>0.2537017524424189</v>
      </c>
      <c r="F91" s="44" t="s">
        <v>99</v>
      </c>
      <c r="G91" s="123"/>
    </row>
    <row r="92" ht="18" customHeight="1"/>
  </sheetData>
  <sheetProtection/>
  <mergeCells count="5">
    <mergeCell ref="A1:G7"/>
    <mergeCell ref="B29:D29"/>
    <mergeCell ref="E29:G29"/>
    <mergeCell ref="B11:D11"/>
    <mergeCell ref="E11:G11"/>
  </mergeCells>
  <hyperlinks>
    <hyperlink ref="A9" location="Index!A1" display="GO TO INDEX"/>
  </hyperlinks>
  <printOptions/>
  <pageMargins left="0.7" right="0.7" top="0.75" bottom="0.75" header="0.3" footer="0.3"/>
  <pageSetup fitToHeight="0"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dimension ref="A1:G97"/>
  <sheetViews>
    <sheetView showGridLines="0" zoomScale="68" zoomScaleNormal="68" zoomScalePageLayoutView="0" workbookViewId="0" topLeftCell="A1">
      <selection activeCell="G24" sqref="G24"/>
    </sheetView>
  </sheetViews>
  <sheetFormatPr defaultColWidth="9.140625" defaultRowHeight="15"/>
  <cols>
    <col min="1" max="1" width="82.7109375" style="0" customWidth="1"/>
    <col min="2" max="2" width="32.57421875" style="0" bestFit="1" customWidth="1"/>
    <col min="3" max="3" width="26.00390625" style="0" bestFit="1" customWidth="1"/>
    <col min="4" max="4" width="9.57421875" style="0" bestFit="1" customWidth="1"/>
    <col min="5" max="5" width="32.57421875" style="0" bestFit="1" customWidth="1"/>
    <col min="6" max="6" width="26.00390625" style="0" bestFit="1" customWidth="1"/>
    <col min="7" max="7" width="18.140625" style="0"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9"/>
      <c r="C9" s="9"/>
      <c r="D9" s="9"/>
      <c r="E9" s="9"/>
      <c r="F9" s="9"/>
      <c r="G9" s="9"/>
    </row>
    <row r="10" spans="1:7" ht="15.75">
      <c r="A10" s="3"/>
      <c r="B10" s="7"/>
      <c r="C10" s="7"/>
      <c r="D10" s="7"/>
      <c r="E10" s="7"/>
      <c r="F10" s="7"/>
      <c r="G10" s="7"/>
    </row>
    <row r="11" spans="1:7" ht="18" customHeight="1">
      <c r="A11" s="45"/>
      <c r="B11" s="164" t="s">
        <v>173</v>
      </c>
      <c r="C11" s="164"/>
      <c r="D11" s="165"/>
      <c r="E11" s="166" t="s">
        <v>174</v>
      </c>
      <c r="F11" s="166"/>
      <c r="G11" s="167"/>
    </row>
    <row r="12" spans="1:7" ht="18" customHeight="1">
      <c r="A12" s="46" t="s">
        <v>25</v>
      </c>
      <c r="B12" s="47" t="s">
        <v>27</v>
      </c>
      <c r="C12" s="47" t="s">
        <v>26</v>
      </c>
      <c r="D12" s="48" t="s">
        <v>22</v>
      </c>
      <c r="E12" s="46" t="s">
        <v>27</v>
      </c>
      <c r="F12" s="46" t="s">
        <v>26</v>
      </c>
      <c r="G12" s="50" t="s">
        <v>22</v>
      </c>
    </row>
    <row r="13" spans="1:7" ht="18" customHeight="1">
      <c r="A13" s="24" t="s">
        <v>167</v>
      </c>
      <c r="B13" s="63">
        <v>17</v>
      </c>
      <c r="C13" s="147">
        <v>0</v>
      </c>
      <c r="D13" s="26" t="s">
        <v>143</v>
      </c>
      <c r="E13" s="140">
        <v>0.9</v>
      </c>
      <c r="F13" s="148">
        <v>0</v>
      </c>
      <c r="G13" s="105" t="s">
        <v>151</v>
      </c>
    </row>
    <row r="14" spans="1:7" ht="18" customHeight="1">
      <c r="A14" s="24" t="s">
        <v>158</v>
      </c>
      <c r="B14" s="63">
        <v>192.592</v>
      </c>
      <c r="C14" s="147">
        <v>0</v>
      </c>
      <c r="D14" s="26" t="s">
        <v>143</v>
      </c>
      <c r="E14" s="140">
        <v>22</v>
      </c>
      <c r="F14" s="148">
        <v>0</v>
      </c>
      <c r="G14" s="105" t="s">
        <v>151</v>
      </c>
    </row>
    <row r="15" spans="1:7" ht="18" customHeight="1">
      <c r="A15" s="24" t="s">
        <v>166</v>
      </c>
      <c r="B15" s="63">
        <v>108.588</v>
      </c>
      <c r="C15" s="63">
        <v>12</v>
      </c>
      <c r="D15" s="26" t="s">
        <v>143</v>
      </c>
      <c r="E15" s="140">
        <v>5.851</v>
      </c>
      <c r="F15" s="140">
        <v>0.932</v>
      </c>
      <c r="G15" s="105" t="s">
        <v>151</v>
      </c>
    </row>
    <row r="16" spans="1:7" ht="18" customHeight="1">
      <c r="A16" s="24" t="s">
        <v>162</v>
      </c>
      <c r="B16" s="63">
        <v>37</v>
      </c>
      <c r="C16" s="26">
        <v>0</v>
      </c>
      <c r="D16" s="26" t="s">
        <v>143</v>
      </c>
      <c r="E16" s="24">
        <v>2.1</v>
      </c>
      <c r="F16" s="24">
        <v>0</v>
      </c>
      <c r="G16" s="105" t="s">
        <v>151</v>
      </c>
    </row>
    <row r="17" spans="1:7" ht="18" customHeight="1">
      <c r="A17" s="24" t="s">
        <v>161</v>
      </c>
      <c r="B17" s="63">
        <v>196.779</v>
      </c>
      <c r="C17" s="26">
        <v>0</v>
      </c>
      <c r="D17" s="26" t="s">
        <v>143</v>
      </c>
      <c r="E17" s="140">
        <v>22</v>
      </c>
      <c r="F17" s="24">
        <v>0</v>
      </c>
      <c r="G17" s="105" t="s">
        <v>151</v>
      </c>
    </row>
    <row r="18" spans="1:7" ht="18" customHeight="1">
      <c r="A18" s="24" t="s">
        <v>160</v>
      </c>
      <c r="B18" s="63">
        <v>226.087</v>
      </c>
      <c r="C18" s="26">
        <v>0</v>
      </c>
      <c r="D18" s="26" t="s">
        <v>143</v>
      </c>
      <c r="E18" s="140">
        <v>20</v>
      </c>
      <c r="F18" s="24">
        <v>0</v>
      </c>
      <c r="G18" s="105" t="s">
        <v>151</v>
      </c>
    </row>
    <row r="19" spans="1:7" ht="18" customHeight="1">
      <c r="A19" s="24" t="s">
        <v>159</v>
      </c>
      <c r="B19" s="63">
        <v>234.3</v>
      </c>
      <c r="C19" s="26">
        <v>11.04</v>
      </c>
      <c r="D19" s="26" t="s">
        <v>143</v>
      </c>
      <c r="E19" s="140">
        <v>14.324</v>
      </c>
      <c r="F19" s="140">
        <v>0.771</v>
      </c>
      <c r="G19" s="105" t="s">
        <v>151</v>
      </c>
    </row>
    <row r="20" spans="1:7" ht="18" customHeight="1">
      <c r="A20" s="24" t="s">
        <v>163</v>
      </c>
      <c r="B20" s="63">
        <v>67.786</v>
      </c>
      <c r="C20" s="63">
        <v>9.883</v>
      </c>
      <c r="D20" s="26" t="s">
        <v>143</v>
      </c>
      <c r="E20" s="140">
        <v>6.803</v>
      </c>
      <c r="F20" s="140">
        <v>1.173</v>
      </c>
      <c r="G20" s="150" t="s">
        <v>149</v>
      </c>
    </row>
    <row r="21" spans="1:7" ht="18" customHeight="1">
      <c r="A21" s="24" t="s">
        <v>172</v>
      </c>
      <c r="B21" s="63">
        <v>8131.097</v>
      </c>
      <c r="C21" s="63">
        <v>7.833</v>
      </c>
      <c r="D21" s="26" t="s">
        <v>140</v>
      </c>
      <c r="E21" s="140">
        <v>1550.461</v>
      </c>
      <c r="F21" s="140">
        <v>25.818</v>
      </c>
      <c r="G21" s="150" t="s">
        <v>149</v>
      </c>
    </row>
    <row r="22" spans="1:7" ht="18" customHeight="1">
      <c r="A22" s="24" t="s">
        <v>139</v>
      </c>
      <c r="B22" s="75">
        <v>2221.35</v>
      </c>
      <c r="C22" s="76">
        <v>11.159</v>
      </c>
      <c r="D22" s="26" t="s">
        <v>140</v>
      </c>
      <c r="E22" s="43">
        <v>79.744</v>
      </c>
      <c r="F22" s="43">
        <v>60.154</v>
      </c>
      <c r="G22" s="150" t="s">
        <v>149</v>
      </c>
    </row>
    <row r="23" spans="1:7" ht="18" customHeight="1">
      <c r="A23" s="24" t="s">
        <v>171</v>
      </c>
      <c r="B23" s="63">
        <v>6781.86</v>
      </c>
      <c r="C23" s="63">
        <v>61.51</v>
      </c>
      <c r="D23" s="26" t="s">
        <v>140</v>
      </c>
      <c r="E23" s="140">
        <v>365.71</v>
      </c>
      <c r="F23" s="140">
        <v>12.04</v>
      </c>
      <c r="G23" s="150" t="s">
        <v>149</v>
      </c>
    </row>
    <row r="24" spans="1:7" ht="18" customHeight="1">
      <c r="A24" s="24" t="s">
        <v>185</v>
      </c>
      <c r="B24" s="75">
        <v>685.252</v>
      </c>
      <c r="C24" s="76">
        <v>1.675</v>
      </c>
      <c r="D24" s="26" t="s">
        <v>140</v>
      </c>
      <c r="E24" s="43">
        <v>36.311</v>
      </c>
      <c r="F24" s="43">
        <v>1.281</v>
      </c>
      <c r="G24" s="150" t="s">
        <v>149</v>
      </c>
    </row>
    <row r="25" spans="1:7" ht="18" customHeight="1">
      <c r="A25" s="24" t="s">
        <v>186</v>
      </c>
      <c r="B25" s="75">
        <v>3212.397</v>
      </c>
      <c r="C25" s="76">
        <v>3.723</v>
      </c>
      <c r="D25" s="26" t="s">
        <v>140</v>
      </c>
      <c r="E25" s="43">
        <v>173.72</v>
      </c>
      <c r="F25" s="43">
        <v>1.373</v>
      </c>
      <c r="G25" s="150" t="s">
        <v>149</v>
      </c>
    </row>
    <row r="26" spans="1:7" ht="18" customHeight="1">
      <c r="A26" s="24" t="s">
        <v>9</v>
      </c>
      <c r="B26" s="75">
        <v>1181.696</v>
      </c>
      <c r="C26" s="76">
        <v>1.548</v>
      </c>
      <c r="D26" s="26" t="s">
        <v>144</v>
      </c>
      <c r="E26" s="43">
        <v>72.961</v>
      </c>
      <c r="F26" s="43">
        <v>4.228</v>
      </c>
      <c r="G26" s="150" t="s">
        <v>150</v>
      </c>
    </row>
    <row r="27" spans="1:7" ht="18" customHeight="1">
      <c r="A27" s="24" t="s">
        <v>10</v>
      </c>
      <c r="B27" s="75">
        <v>1515.689</v>
      </c>
      <c r="C27" s="76">
        <v>1.548</v>
      </c>
      <c r="D27" s="26" t="s">
        <v>144</v>
      </c>
      <c r="E27" s="43">
        <v>96.281</v>
      </c>
      <c r="F27" s="43">
        <v>4.228</v>
      </c>
      <c r="G27" s="150" t="s">
        <v>150</v>
      </c>
    </row>
    <row r="28" spans="1:7" ht="18" customHeight="1">
      <c r="A28" s="24" t="s">
        <v>11</v>
      </c>
      <c r="B28" s="76">
        <v>2029.435</v>
      </c>
      <c r="C28" s="76">
        <v>1.548</v>
      </c>
      <c r="D28" s="26" t="s">
        <v>144</v>
      </c>
      <c r="E28" s="43">
        <v>121.68</v>
      </c>
      <c r="F28" s="43">
        <v>4.228</v>
      </c>
      <c r="G28" s="150" t="s">
        <v>150</v>
      </c>
    </row>
    <row r="29" spans="1:7" ht="18" customHeight="1">
      <c r="A29" s="24" t="s">
        <v>12</v>
      </c>
      <c r="B29" s="76">
        <v>3060.768</v>
      </c>
      <c r="C29" s="76">
        <v>1.548</v>
      </c>
      <c r="D29" s="26" t="s">
        <v>144</v>
      </c>
      <c r="E29" s="43">
        <v>156.667</v>
      </c>
      <c r="F29" s="43">
        <v>4.228</v>
      </c>
      <c r="G29" s="150" t="s">
        <v>150</v>
      </c>
    </row>
    <row r="30" spans="1:7" ht="18" customHeight="1">
      <c r="A30" s="24" t="s">
        <v>13</v>
      </c>
      <c r="B30" s="76">
        <v>2414.699</v>
      </c>
      <c r="C30" s="76">
        <v>1.548</v>
      </c>
      <c r="D30" s="26" t="s">
        <v>144</v>
      </c>
      <c r="E30" s="43">
        <v>126.671</v>
      </c>
      <c r="F30" s="43">
        <v>4.228</v>
      </c>
      <c r="G30" s="150" t="s">
        <v>150</v>
      </c>
    </row>
    <row r="31" spans="1:7" ht="18" customHeight="1">
      <c r="A31" s="24" t="s">
        <v>14</v>
      </c>
      <c r="B31" s="76">
        <v>3854.796</v>
      </c>
      <c r="C31" s="76">
        <v>1.548</v>
      </c>
      <c r="D31" s="26" t="s">
        <v>144</v>
      </c>
      <c r="E31" s="43">
        <v>196.056</v>
      </c>
      <c r="F31" s="43">
        <v>4.228</v>
      </c>
      <c r="G31" s="150" t="s">
        <v>150</v>
      </c>
    </row>
    <row r="32" spans="1:7" ht="18" customHeight="1">
      <c r="A32" s="24" t="s">
        <v>4</v>
      </c>
      <c r="B32" s="75">
        <v>65.483</v>
      </c>
      <c r="C32" s="75">
        <v>0.332</v>
      </c>
      <c r="D32" s="26" t="s">
        <v>145</v>
      </c>
      <c r="E32" s="141">
        <v>2.633</v>
      </c>
      <c r="F32" s="141">
        <v>0.097</v>
      </c>
      <c r="G32" s="150" t="s">
        <v>150</v>
      </c>
    </row>
    <row r="33" spans="1:7" ht="18" customHeight="1">
      <c r="A33" s="25" t="s">
        <v>92</v>
      </c>
      <c r="B33" s="151">
        <v>118.176</v>
      </c>
      <c r="C33" s="151">
        <v>0.374</v>
      </c>
      <c r="D33" s="78" t="s">
        <v>140</v>
      </c>
      <c r="E33" s="152">
        <v>6.913</v>
      </c>
      <c r="F33" s="152">
        <v>0.08</v>
      </c>
      <c r="G33" s="153" t="s">
        <v>149</v>
      </c>
    </row>
    <row r="34" ht="18" customHeight="1">
      <c r="A34" s="49"/>
    </row>
    <row r="35" spans="1:7" ht="18" customHeight="1">
      <c r="A35" s="40"/>
      <c r="B35" s="164" t="s">
        <v>173</v>
      </c>
      <c r="C35" s="164"/>
      <c r="D35" s="165"/>
      <c r="E35" s="166" t="s">
        <v>174</v>
      </c>
      <c r="F35" s="166"/>
      <c r="G35" s="167"/>
    </row>
    <row r="36" spans="1:7" ht="18" customHeight="1">
      <c r="A36" s="41" t="s">
        <v>28</v>
      </c>
      <c r="B36" s="110" t="s">
        <v>86</v>
      </c>
      <c r="C36" s="51" t="s">
        <v>22</v>
      </c>
      <c r="D36" s="51"/>
      <c r="E36" s="111" t="s">
        <v>86</v>
      </c>
      <c r="F36" s="42" t="s">
        <v>22</v>
      </c>
      <c r="G36" s="42"/>
    </row>
    <row r="37" spans="1:7" ht="18" customHeight="1">
      <c r="A37" s="24" t="s">
        <v>8</v>
      </c>
      <c r="B37" s="113"/>
      <c r="C37" s="26"/>
      <c r="D37" s="26"/>
      <c r="E37" s="112"/>
      <c r="F37" s="24"/>
      <c r="G37" s="24"/>
    </row>
    <row r="38" spans="1:7" ht="18" customHeight="1">
      <c r="A38" s="24" t="s">
        <v>53</v>
      </c>
      <c r="B38" s="63">
        <v>12.28866886967939</v>
      </c>
      <c r="C38" s="26" t="s">
        <v>97</v>
      </c>
      <c r="D38" s="26"/>
      <c r="E38" s="138">
        <v>0.5640665787536201</v>
      </c>
      <c r="F38" s="24" t="s">
        <v>98</v>
      </c>
      <c r="G38" s="24"/>
    </row>
    <row r="39" spans="1:7" ht="18" customHeight="1">
      <c r="A39" s="24" t="s">
        <v>52</v>
      </c>
      <c r="B39" s="63">
        <v>8.065892772671177</v>
      </c>
      <c r="C39" s="26" t="s">
        <v>97</v>
      </c>
      <c r="D39" s="26"/>
      <c r="E39" s="138">
        <v>0.35782277792710643</v>
      </c>
      <c r="F39" s="24" t="s">
        <v>98</v>
      </c>
      <c r="G39" s="24"/>
    </row>
    <row r="40" spans="1:7" ht="18" customHeight="1">
      <c r="A40" s="24" t="s">
        <v>54</v>
      </c>
      <c r="B40" s="63">
        <v>12.512154419042936</v>
      </c>
      <c r="C40" s="26" t="s">
        <v>97</v>
      </c>
      <c r="D40" s="26"/>
      <c r="E40" s="138">
        <v>0.36414487090095227</v>
      </c>
      <c r="F40" s="24" t="s">
        <v>98</v>
      </c>
      <c r="G40" s="24"/>
    </row>
    <row r="41" spans="1:7" ht="18" customHeight="1">
      <c r="A41" s="24" t="s">
        <v>55</v>
      </c>
      <c r="B41" s="63">
        <v>15.523847350284765</v>
      </c>
      <c r="C41" s="26" t="s">
        <v>97</v>
      </c>
      <c r="D41" s="26"/>
      <c r="E41" s="138">
        <v>0.788923417393262</v>
      </c>
      <c r="F41" s="24" t="s">
        <v>98</v>
      </c>
      <c r="G41" s="24"/>
    </row>
    <row r="42" spans="1:7" ht="18" customHeight="1">
      <c r="A42" s="24" t="s">
        <v>56</v>
      </c>
      <c r="B42" s="63">
        <v>10.837793429695552</v>
      </c>
      <c r="C42" s="26" t="s">
        <v>97</v>
      </c>
      <c r="D42" s="26"/>
      <c r="E42" s="138">
        <v>0.42496162689240646</v>
      </c>
      <c r="F42" s="24" t="s">
        <v>98</v>
      </c>
      <c r="G42" s="24"/>
    </row>
    <row r="43" spans="1:7" ht="18" customHeight="1">
      <c r="A43" s="24" t="s">
        <v>57</v>
      </c>
      <c r="B43" s="63">
        <v>13.190667855664849</v>
      </c>
      <c r="C43" s="26" t="s">
        <v>97</v>
      </c>
      <c r="D43" s="26"/>
      <c r="E43" s="138">
        <v>0.88466389448935</v>
      </c>
      <c r="F43" s="24" t="s">
        <v>98</v>
      </c>
      <c r="G43" s="24"/>
    </row>
    <row r="44" spans="1:7" ht="18" customHeight="1">
      <c r="A44" s="24" t="s">
        <v>58</v>
      </c>
      <c r="B44" s="63">
        <v>10.735440201919175</v>
      </c>
      <c r="C44" s="26" t="s">
        <v>97</v>
      </c>
      <c r="D44" s="26"/>
      <c r="E44" s="138">
        <v>0.6975155546505348</v>
      </c>
      <c r="F44" s="24" t="s">
        <v>98</v>
      </c>
      <c r="G44" s="24"/>
    </row>
    <row r="45" spans="1:7" ht="18" customHeight="1">
      <c r="A45" s="24" t="s">
        <v>59</v>
      </c>
      <c r="B45" s="63">
        <v>12.49084408132875</v>
      </c>
      <c r="C45" s="26" t="s">
        <v>97</v>
      </c>
      <c r="D45" s="26"/>
      <c r="E45" s="138">
        <v>0.43820642230493173</v>
      </c>
      <c r="F45" s="24" t="s">
        <v>98</v>
      </c>
      <c r="G45" s="24"/>
    </row>
    <row r="46" spans="1:7" ht="18" customHeight="1">
      <c r="A46" s="24" t="s">
        <v>60</v>
      </c>
      <c r="B46" s="63">
        <v>13.627172082639401</v>
      </c>
      <c r="C46" s="26" t="s">
        <v>97</v>
      </c>
      <c r="D46" s="26"/>
      <c r="E46" s="138">
        <v>0.10543952722080681</v>
      </c>
      <c r="F46" s="24" t="s">
        <v>98</v>
      </c>
      <c r="G46" s="24"/>
    </row>
    <row r="47" spans="1:7" ht="18" customHeight="1">
      <c r="A47" s="24" t="s">
        <v>61</v>
      </c>
      <c r="B47" s="63">
        <v>12.662411329595765</v>
      </c>
      <c r="C47" s="26" t="s">
        <v>97</v>
      </c>
      <c r="D47" s="26"/>
      <c r="E47" s="138">
        <v>0.7481108402730136</v>
      </c>
      <c r="F47" s="24" t="s">
        <v>98</v>
      </c>
      <c r="G47" s="24"/>
    </row>
    <row r="48" spans="1:7" ht="18" customHeight="1">
      <c r="A48" s="24" t="s">
        <v>62</v>
      </c>
      <c r="B48" s="63">
        <v>18.65884984909758</v>
      </c>
      <c r="C48" s="26" t="s">
        <v>97</v>
      </c>
      <c r="D48" s="26"/>
      <c r="E48" s="140">
        <v>1.1772127198864677</v>
      </c>
      <c r="F48" s="24" t="s">
        <v>98</v>
      </c>
      <c r="G48" s="24"/>
    </row>
    <row r="49" spans="1:7" ht="18" customHeight="1">
      <c r="A49" s="24" t="s">
        <v>63</v>
      </c>
      <c r="B49" s="63">
        <v>17.05185051644113</v>
      </c>
      <c r="C49" s="26" t="s">
        <v>97</v>
      </c>
      <c r="D49" s="26"/>
      <c r="E49" s="138">
        <v>0.8354697177951619</v>
      </c>
      <c r="F49" s="24" t="s">
        <v>98</v>
      </c>
      <c r="G49" s="24"/>
    </row>
    <row r="50" spans="1:7" ht="18" customHeight="1">
      <c r="A50" s="24" t="s">
        <v>64</v>
      </c>
      <c r="B50" s="63">
        <v>13.059732838441164</v>
      </c>
      <c r="C50" s="26" t="s">
        <v>97</v>
      </c>
      <c r="D50" s="26"/>
      <c r="E50" s="138">
        <v>0.9022051618277649</v>
      </c>
      <c r="F50" s="24" t="s">
        <v>98</v>
      </c>
      <c r="G50" s="24"/>
    </row>
    <row r="51" spans="1:7" ht="18" customHeight="1">
      <c r="A51" s="24" t="s">
        <v>65</v>
      </c>
      <c r="B51" s="63">
        <v>10.705034937318649</v>
      </c>
      <c r="C51" s="26" t="s">
        <v>97</v>
      </c>
      <c r="D51" s="26"/>
      <c r="E51" s="138">
        <v>0.7188987941457068</v>
      </c>
      <c r="F51" s="24" t="s">
        <v>98</v>
      </c>
      <c r="G51" s="24"/>
    </row>
    <row r="52" spans="1:7" ht="18" customHeight="1">
      <c r="A52" s="24" t="s">
        <v>66</v>
      </c>
      <c r="B52" s="63">
        <v>10.816168340971544</v>
      </c>
      <c r="C52" s="26" t="s">
        <v>97</v>
      </c>
      <c r="D52" s="26"/>
      <c r="E52" s="138">
        <v>0.6030163954911086</v>
      </c>
      <c r="F52" s="24" t="s">
        <v>98</v>
      </c>
      <c r="G52" s="24"/>
    </row>
    <row r="53" spans="1:7" ht="18" customHeight="1">
      <c r="A53" s="24" t="s">
        <v>67</v>
      </c>
      <c r="B53" s="63">
        <v>11.845163579521621</v>
      </c>
      <c r="C53" s="26" t="s">
        <v>97</v>
      </c>
      <c r="D53" s="26"/>
      <c r="E53" s="138">
        <v>0.743479531004244</v>
      </c>
      <c r="F53" s="24" t="s">
        <v>98</v>
      </c>
      <c r="G53" s="24"/>
    </row>
    <row r="54" spans="1:7" ht="18" customHeight="1">
      <c r="A54" s="24" t="s">
        <v>68</v>
      </c>
      <c r="B54" s="63">
        <v>16.05050143990944</v>
      </c>
      <c r="C54" s="26" t="s">
        <v>97</v>
      </c>
      <c r="D54" s="26"/>
      <c r="E54" s="140">
        <v>1.3741028207236248</v>
      </c>
      <c r="F54" s="24" t="s">
        <v>98</v>
      </c>
      <c r="G54" s="24"/>
    </row>
    <row r="55" spans="1:7" ht="18" customHeight="1">
      <c r="A55" s="24" t="s">
        <v>69</v>
      </c>
      <c r="B55" s="63">
        <v>11.519051650790797</v>
      </c>
      <c r="C55" s="26" t="s">
        <v>97</v>
      </c>
      <c r="D55" s="26"/>
      <c r="E55" s="138">
        <v>0.7132401271463382</v>
      </c>
      <c r="F55" s="24" t="s">
        <v>98</v>
      </c>
      <c r="G55" s="24"/>
    </row>
    <row r="56" spans="1:7" ht="18" customHeight="1">
      <c r="A56" s="24" t="s">
        <v>70</v>
      </c>
      <c r="B56" s="63">
        <v>12.420295625141417</v>
      </c>
      <c r="C56" s="26" t="s">
        <v>97</v>
      </c>
      <c r="D56" s="26"/>
      <c r="E56" s="138">
        <v>0.8071359201054558</v>
      </c>
      <c r="F56" s="24" t="s">
        <v>98</v>
      </c>
      <c r="G56" s="24"/>
    </row>
    <row r="57" spans="1:7" ht="18" customHeight="1">
      <c r="A57" s="24" t="s">
        <v>71</v>
      </c>
      <c r="B57" s="63">
        <v>12.809767239674287</v>
      </c>
      <c r="C57" s="26" t="s">
        <v>97</v>
      </c>
      <c r="D57" s="26"/>
      <c r="E57" s="138">
        <v>0.41372811566214496</v>
      </c>
      <c r="F57" s="24" t="s">
        <v>98</v>
      </c>
      <c r="G57" s="24"/>
    </row>
    <row r="58" spans="1:7" ht="18" customHeight="1">
      <c r="A58" s="24" t="s">
        <v>72</v>
      </c>
      <c r="B58" s="63">
        <v>10.385296869344828</v>
      </c>
      <c r="C58" s="26" t="s">
        <v>97</v>
      </c>
      <c r="D58" s="26"/>
      <c r="E58" s="138">
        <v>0.5586197478828578</v>
      </c>
      <c r="F58" s="24" t="s">
        <v>98</v>
      </c>
      <c r="G58" s="24"/>
    </row>
    <row r="59" spans="1:7" ht="18" customHeight="1">
      <c r="A59" s="24" t="s">
        <v>73</v>
      </c>
      <c r="B59" s="63">
        <v>12.1682833954288</v>
      </c>
      <c r="C59" s="26" t="s">
        <v>97</v>
      </c>
      <c r="D59" s="26"/>
      <c r="E59" s="138">
        <v>0.6062698433291043</v>
      </c>
      <c r="F59" s="24" t="s">
        <v>98</v>
      </c>
      <c r="G59" s="24"/>
    </row>
    <row r="60" spans="1:7" ht="18" customHeight="1">
      <c r="A60" s="24" t="s">
        <v>74</v>
      </c>
      <c r="B60" s="63">
        <v>10.547366139084515</v>
      </c>
      <c r="C60" s="26" t="s">
        <v>97</v>
      </c>
      <c r="D60" s="26"/>
      <c r="E60" s="138">
        <v>0.05101340983441813</v>
      </c>
      <c r="F60" s="24" t="s">
        <v>98</v>
      </c>
      <c r="G60" s="24"/>
    </row>
    <row r="61" spans="1:7" ht="18" customHeight="1">
      <c r="A61" s="24" t="s">
        <v>75</v>
      </c>
      <c r="B61" s="63">
        <v>8.677570642902007</v>
      </c>
      <c r="C61" s="26" t="s">
        <v>97</v>
      </c>
      <c r="D61" s="26"/>
      <c r="E61" s="138">
        <v>0.029757584878190323</v>
      </c>
      <c r="F61" s="24" t="s">
        <v>98</v>
      </c>
      <c r="G61" s="24"/>
    </row>
    <row r="62" spans="1:7" ht="18" customHeight="1">
      <c r="A62" s="24" t="s">
        <v>76</v>
      </c>
      <c r="B62" s="63">
        <v>12.368906279597478</v>
      </c>
      <c r="C62" s="26" t="s">
        <v>97</v>
      </c>
      <c r="D62" s="26"/>
      <c r="E62" s="138">
        <v>0.7024891603271252</v>
      </c>
      <c r="F62" s="24" t="s">
        <v>98</v>
      </c>
      <c r="G62" s="24"/>
    </row>
    <row r="63" spans="1:7" ht="18" customHeight="1">
      <c r="A63" s="24" t="s">
        <v>21</v>
      </c>
      <c r="B63" s="63">
        <v>9.057</v>
      </c>
      <c r="C63" s="26" t="s">
        <v>97</v>
      </c>
      <c r="D63" s="26"/>
      <c r="E63" s="138">
        <v>0.44628264179845795</v>
      </c>
      <c r="F63" s="24" t="s">
        <v>98</v>
      </c>
      <c r="G63" s="24"/>
    </row>
    <row r="64" spans="1:7" ht="18" customHeight="1">
      <c r="A64" s="24" t="s">
        <v>29</v>
      </c>
      <c r="B64" s="63">
        <v>12.487508333761681</v>
      </c>
      <c r="C64" s="26" t="s">
        <v>97</v>
      </c>
      <c r="D64" s="26"/>
      <c r="E64" s="138">
        <v>0.366988283436517</v>
      </c>
      <c r="F64" s="24" t="s">
        <v>98</v>
      </c>
      <c r="G64" s="24"/>
    </row>
    <row r="65" spans="1:7" ht="18" customHeight="1">
      <c r="A65" s="24" t="s">
        <v>30</v>
      </c>
      <c r="B65" s="63">
        <v>15.484510950232943</v>
      </c>
      <c r="C65" s="26" t="s">
        <v>97</v>
      </c>
      <c r="D65" s="26"/>
      <c r="E65" s="138">
        <v>0.7904981377172272</v>
      </c>
      <c r="F65" s="24" t="s">
        <v>98</v>
      </c>
      <c r="G65" s="24"/>
    </row>
    <row r="66" spans="1:7" ht="18" customHeight="1">
      <c r="A66" s="24" t="s">
        <v>40</v>
      </c>
      <c r="B66" s="63">
        <v>12.466674632278172</v>
      </c>
      <c r="C66" s="26" t="s">
        <v>97</v>
      </c>
      <c r="D66" s="26"/>
      <c r="E66" s="138">
        <v>0.5973368030587951</v>
      </c>
      <c r="F66" s="24" t="s">
        <v>98</v>
      </c>
      <c r="G66" s="24"/>
    </row>
    <row r="67" spans="1:7" ht="18" customHeight="1">
      <c r="A67" s="24" t="s">
        <v>32</v>
      </c>
      <c r="B67" s="63">
        <v>13.413940093805358</v>
      </c>
      <c r="C67" s="26" t="s">
        <v>97</v>
      </c>
      <c r="D67" s="26"/>
      <c r="E67" s="138">
        <v>0.9266083201487562</v>
      </c>
      <c r="F67" s="24" t="s">
        <v>98</v>
      </c>
      <c r="G67" s="24"/>
    </row>
    <row r="68" spans="1:7" ht="18" customHeight="1">
      <c r="A68" s="24" t="s">
        <v>34</v>
      </c>
      <c r="B68" s="63">
        <v>10.61101266676281</v>
      </c>
      <c r="C68" s="26" t="s">
        <v>97</v>
      </c>
      <c r="D68" s="26"/>
      <c r="E68" s="138">
        <v>0.6263149932872119</v>
      </c>
      <c r="F68" s="24" t="s">
        <v>98</v>
      </c>
      <c r="G68" s="24"/>
    </row>
    <row r="69" spans="1:7" ht="18" customHeight="1">
      <c r="A69" s="24" t="s">
        <v>36</v>
      </c>
      <c r="B69" s="63">
        <v>12.664438285004245</v>
      </c>
      <c r="C69" s="26" t="s">
        <v>97</v>
      </c>
      <c r="D69" s="26"/>
      <c r="E69" s="138">
        <v>0.5017550539838059</v>
      </c>
      <c r="F69" s="24" t="s">
        <v>98</v>
      </c>
      <c r="G69" s="24"/>
    </row>
    <row r="70" spans="1:7" ht="18" customHeight="1">
      <c r="A70" s="24" t="s">
        <v>37</v>
      </c>
      <c r="B70" s="63">
        <v>13.570799167938924</v>
      </c>
      <c r="C70" s="26" t="s">
        <v>97</v>
      </c>
      <c r="D70" s="26"/>
      <c r="E70" s="138">
        <v>0.10785301379734698</v>
      </c>
      <c r="F70" s="24" t="s">
        <v>98</v>
      </c>
      <c r="G70" s="24"/>
    </row>
    <row r="71" spans="1:7" ht="18" customHeight="1">
      <c r="A71" s="24" t="s">
        <v>33</v>
      </c>
      <c r="B71" s="63">
        <v>12.5798597769522</v>
      </c>
      <c r="C71" s="26" t="s">
        <v>97</v>
      </c>
      <c r="D71" s="26"/>
      <c r="E71" s="138">
        <v>0.7229270489327816</v>
      </c>
      <c r="F71" s="24" t="s">
        <v>98</v>
      </c>
      <c r="G71" s="24"/>
    </row>
    <row r="72" spans="1:7" ht="18" customHeight="1">
      <c r="A72" s="24" t="s">
        <v>39</v>
      </c>
      <c r="B72" s="63">
        <v>18.267737582218412</v>
      </c>
      <c r="C72" s="26" t="s">
        <v>97</v>
      </c>
      <c r="D72" s="26"/>
      <c r="E72" s="140">
        <v>1.1457546523555282</v>
      </c>
      <c r="F72" s="24" t="s">
        <v>98</v>
      </c>
      <c r="G72" s="24"/>
    </row>
    <row r="73" spans="1:7" ht="18" customHeight="1">
      <c r="A73" s="24" t="s">
        <v>41</v>
      </c>
      <c r="B73" s="63">
        <v>16.17590435939968</v>
      </c>
      <c r="C73" s="26" t="s">
        <v>97</v>
      </c>
      <c r="D73" s="26"/>
      <c r="E73" s="138">
        <v>0.7519943703503079</v>
      </c>
      <c r="F73" s="24" t="s">
        <v>98</v>
      </c>
      <c r="G73" s="24"/>
    </row>
    <row r="74" spans="1:7" ht="18" customHeight="1">
      <c r="A74" s="24" t="s">
        <v>42</v>
      </c>
      <c r="B74" s="63">
        <v>13.012298932181878</v>
      </c>
      <c r="C74" s="26" t="s">
        <v>97</v>
      </c>
      <c r="D74" s="26"/>
      <c r="E74" s="138">
        <v>0.8898533137459462</v>
      </c>
      <c r="F74" s="24" t="s">
        <v>98</v>
      </c>
      <c r="G74" s="24"/>
    </row>
    <row r="75" spans="1:7" ht="18" customHeight="1">
      <c r="A75" s="24" t="s">
        <v>43</v>
      </c>
      <c r="B75" s="63">
        <v>10.737176848486692</v>
      </c>
      <c r="C75" s="26" t="s">
        <v>97</v>
      </c>
      <c r="D75" s="26"/>
      <c r="E75" s="138">
        <v>0.643514343821497</v>
      </c>
      <c r="F75" s="24" t="s">
        <v>98</v>
      </c>
      <c r="G75" s="24"/>
    </row>
    <row r="76" spans="1:7" ht="18" customHeight="1">
      <c r="A76" s="24" t="s">
        <v>44</v>
      </c>
      <c r="B76" s="63">
        <v>12.109161825024843</v>
      </c>
      <c r="C76" s="26" t="s">
        <v>97</v>
      </c>
      <c r="D76" s="26"/>
      <c r="E76" s="138">
        <v>0.6428954589912446</v>
      </c>
      <c r="F76" s="24" t="s">
        <v>98</v>
      </c>
      <c r="G76" s="24"/>
    </row>
    <row r="77" spans="1:7" ht="18" customHeight="1">
      <c r="A77" s="24" t="s">
        <v>45</v>
      </c>
      <c r="B77" s="63">
        <v>11.918506343818695</v>
      </c>
      <c r="C77" s="26" t="s">
        <v>97</v>
      </c>
      <c r="D77" s="26"/>
      <c r="E77" s="138">
        <v>0.7271305231850163</v>
      </c>
      <c r="F77" s="24" t="s">
        <v>98</v>
      </c>
      <c r="G77" s="24"/>
    </row>
    <row r="78" spans="1:7" ht="18" customHeight="1">
      <c r="A78" s="24" t="s">
        <v>46</v>
      </c>
      <c r="B78" s="63">
        <v>14.182962694631957</v>
      </c>
      <c r="C78" s="26" t="s">
        <v>97</v>
      </c>
      <c r="D78" s="26"/>
      <c r="E78" s="140">
        <v>1.1998212414826828</v>
      </c>
      <c r="F78" s="24" t="s">
        <v>98</v>
      </c>
      <c r="G78" s="24"/>
    </row>
    <row r="79" spans="1:7" ht="18" customHeight="1">
      <c r="A79" s="24" t="s">
        <v>47</v>
      </c>
      <c r="B79" s="63">
        <v>11.61752426527986</v>
      </c>
      <c r="C79" s="26" t="s">
        <v>97</v>
      </c>
      <c r="D79" s="26"/>
      <c r="E79" s="138">
        <v>0.6959640108872182</v>
      </c>
      <c r="F79" s="24" t="s">
        <v>98</v>
      </c>
      <c r="G79" s="24"/>
    </row>
    <row r="80" spans="1:7" ht="18" customHeight="1">
      <c r="A80" s="24" t="s">
        <v>48</v>
      </c>
      <c r="B80" s="63">
        <v>12.499602056222304</v>
      </c>
      <c r="C80" s="26" t="s">
        <v>97</v>
      </c>
      <c r="D80" s="26"/>
      <c r="E80" s="138">
        <v>0.8098158493550874</v>
      </c>
      <c r="F80" s="24" t="s">
        <v>98</v>
      </c>
      <c r="G80" s="24"/>
    </row>
    <row r="81" spans="1:7" ht="18" customHeight="1">
      <c r="A81" s="24" t="s">
        <v>51</v>
      </c>
      <c r="B81" s="63">
        <v>11.93273677028558</v>
      </c>
      <c r="C81" s="26" t="s">
        <v>97</v>
      </c>
      <c r="D81" s="26"/>
      <c r="E81" s="138">
        <v>0.5057963089125365</v>
      </c>
      <c r="F81" s="24" t="s">
        <v>98</v>
      </c>
      <c r="G81" s="24"/>
    </row>
    <row r="82" spans="1:7" ht="18" customHeight="1">
      <c r="A82" s="24" t="s">
        <v>50</v>
      </c>
      <c r="B82" s="63">
        <v>9.950388203633345</v>
      </c>
      <c r="C82" s="26" t="s">
        <v>97</v>
      </c>
      <c r="D82" s="26"/>
      <c r="E82" s="138">
        <v>0.4872858881436115</v>
      </c>
      <c r="F82" s="24" t="s">
        <v>98</v>
      </c>
      <c r="G82" s="24"/>
    </row>
    <row r="83" spans="1:7" ht="18" customHeight="1">
      <c r="A83" s="24" t="s">
        <v>35</v>
      </c>
      <c r="B83" s="63">
        <v>12.208329564976685</v>
      </c>
      <c r="C83" s="26" t="s">
        <v>97</v>
      </c>
      <c r="D83" s="26"/>
      <c r="E83" s="138">
        <v>0.5964692099412366</v>
      </c>
      <c r="F83" s="24" t="s">
        <v>98</v>
      </c>
      <c r="G83" s="24"/>
    </row>
    <row r="84" spans="1:7" ht="18" customHeight="1">
      <c r="A84" s="24" t="s">
        <v>49</v>
      </c>
      <c r="B84" s="63">
        <v>10.655937371752202</v>
      </c>
      <c r="C84" s="26" t="s">
        <v>97</v>
      </c>
      <c r="D84" s="26"/>
      <c r="E84" s="138">
        <v>0.10195832804907509</v>
      </c>
      <c r="F84" s="24" t="s">
        <v>98</v>
      </c>
      <c r="G84" s="24"/>
    </row>
    <row r="85" spans="1:7" ht="18" customHeight="1">
      <c r="A85" s="24" t="s">
        <v>31</v>
      </c>
      <c r="B85" s="63">
        <v>10.983613037552056</v>
      </c>
      <c r="C85" s="26" t="s">
        <v>97</v>
      </c>
      <c r="D85" s="26"/>
      <c r="E85" s="138">
        <v>0.1489153097970829</v>
      </c>
      <c r="F85" s="24" t="s">
        <v>98</v>
      </c>
      <c r="G85" s="24"/>
    </row>
    <row r="86" spans="1:7" ht="18" customHeight="1">
      <c r="A86" s="24" t="s">
        <v>38</v>
      </c>
      <c r="B86" s="63">
        <v>12.41007063860485</v>
      </c>
      <c r="C86" s="26" t="s">
        <v>97</v>
      </c>
      <c r="D86" s="26"/>
      <c r="E86" s="138">
        <v>0.6875218589422852</v>
      </c>
      <c r="F86" s="24" t="s">
        <v>98</v>
      </c>
      <c r="G86" s="24"/>
    </row>
    <row r="87" spans="1:7" ht="18" customHeight="1">
      <c r="A87" s="24" t="s">
        <v>93</v>
      </c>
      <c r="B87" s="107"/>
      <c r="C87" s="26"/>
      <c r="D87" s="26"/>
      <c r="E87" s="106"/>
      <c r="F87" s="24"/>
      <c r="G87" s="24"/>
    </row>
    <row r="88" spans="1:7" ht="18" customHeight="1">
      <c r="A88" s="24" t="s">
        <v>78</v>
      </c>
      <c r="B88" s="63">
        <v>4.609985626889256</v>
      </c>
      <c r="C88" s="26" t="s">
        <v>97</v>
      </c>
      <c r="D88" s="26"/>
      <c r="E88" s="138">
        <v>0.2730136082491594</v>
      </c>
      <c r="F88" s="24" t="s">
        <v>98</v>
      </c>
      <c r="G88" s="24"/>
    </row>
    <row r="89" spans="1:7" ht="18" customHeight="1">
      <c r="A89" s="24" t="s">
        <v>77</v>
      </c>
      <c r="B89" s="63">
        <v>4.4439067245612724</v>
      </c>
      <c r="C89" s="26" t="s">
        <v>97</v>
      </c>
      <c r="D89" s="26"/>
      <c r="E89" s="138">
        <v>0.2652379739478075</v>
      </c>
      <c r="F89" s="24" t="s">
        <v>98</v>
      </c>
      <c r="G89" s="24"/>
    </row>
    <row r="90" spans="1:7" ht="18" customHeight="1">
      <c r="A90" s="24" t="s">
        <v>79</v>
      </c>
      <c r="B90" s="63">
        <v>4.482444365640331</v>
      </c>
      <c r="C90" s="26" t="s">
        <v>97</v>
      </c>
      <c r="D90" s="26"/>
      <c r="E90" s="138">
        <v>0.2670422647264524</v>
      </c>
      <c r="F90" s="24" t="s">
        <v>98</v>
      </c>
      <c r="G90" s="24"/>
    </row>
    <row r="91" spans="1:7" ht="18" customHeight="1">
      <c r="A91" s="24" t="s">
        <v>80</v>
      </c>
      <c r="B91" s="63">
        <v>4.304225320070023</v>
      </c>
      <c r="C91" s="26" t="s">
        <v>97</v>
      </c>
      <c r="D91" s="26"/>
      <c r="E91" s="138">
        <v>0.2475105773320445</v>
      </c>
      <c r="F91" s="24" t="s">
        <v>98</v>
      </c>
      <c r="G91" s="24"/>
    </row>
    <row r="92" spans="1:7" ht="18" customHeight="1">
      <c r="A92" s="24" t="s">
        <v>142</v>
      </c>
      <c r="B92" s="63">
        <v>4.737068100300626</v>
      </c>
      <c r="C92" s="26" t="s">
        <v>97</v>
      </c>
      <c r="D92" s="26"/>
      <c r="E92" s="138">
        <v>0.27896347252314574</v>
      </c>
      <c r="F92" s="24" t="s">
        <v>98</v>
      </c>
      <c r="G92" s="24"/>
    </row>
    <row r="93" spans="1:7" ht="18" customHeight="1">
      <c r="A93" s="24" t="s">
        <v>81</v>
      </c>
      <c r="B93" s="63">
        <v>4.482444365640331</v>
      </c>
      <c r="C93" s="26" t="s">
        <v>97</v>
      </c>
      <c r="D93" s="26"/>
      <c r="E93" s="138">
        <v>0.2670422647264524</v>
      </c>
      <c r="F93" s="24" t="s">
        <v>98</v>
      </c>
      <c r="G93" s="24"/>
    </row>
    <row r="94" spans="1:7" ht="18" customHeight="1">
      <c r="A94" s="24" t="s">
        <v>82</v>
      </c>
      <c r="B94" s="63">
        <v>4.482444365640331</v>
      </c>
      <c r="C94" s="26" t="s">
        <v>97</v>
      </c>
      <c r="D94" s="26"/>
      <c r="E94" s="138">
        <v>0.2670422647264524</v>
      </c>
      <c r="F94" s="24" t="s">
        <v>98</v>
      </c>
      <c r="G94" s="24"/>
    </row>
    <row r="95" spans="1:7" ht="18" customHeight="1">
      <c r="A95" s="24" t="s">
        <v>83</v>
      </c>
      <c r="B95" s="63">
        <v>4.304225320705678</v>
      </c>
      <c r="C95" s="26" t="s">
        <v>97</v>
      </c>
      <c r="D95" s="26"/>
      <c r="E95" s="138">
        <v>0.24751057765312146</v>
      </c>
      <c r="F95" s="24" t="s">
        <v>98</v>
      </c>
      <c r="G95" s="24"/>
    </row>
    <row r="96" spans="1:7" ht="18" customHeight="1">
      <c r="A96" s="24" t="s">
        <v>84</v>
      </c>
      <c r="B96" s="63">
        <v>4.304225373774396</v>
      </c>
      <c r="C96" s="26" t="s">
        <v>97</v>
      </c>
      <c r="D96" s="26"/>
      <c r="E96" s="138">
        <v>0.24712897842382547</v>
      </c>
      <c r="F96" s="24" t="s">
        <v>98</v>
      </c>
      <c r="G96" s="24"/>
    </row>
    <row r="97" spans="1:7" ht="18" customHeight="1">
      <c r="A97" s="25" t="s">
        <v>85</v>
      </c>
      <c r="B97" s="137">
        <v>4.444612529282803</v>
      </c>
      <c r="C97" s="52" t="s">
        <v>97</v>
      </c>
      <c r="D97" s="52"/>
      <c r="E97" s="139">
        <v>0.2537017524424189</v>
      </c>
      <c r="F97" s="44" t="s">
        <v>99</v>
      </c>
      <c r="G97" s="44"/>
    </row>
    <row r="98" ht="18" customHeight="1"/>
    <row r="99" ht="18" customHeight="1"/>
    <row r="100" ht="18" customHeight="1"/>
    <row r="101" ht="18" customHeight="1"/>
    <row r="102" ht="18" customHeight="1"/>
    <row r="103" ht="18" customHeight="1"/>
  </sheetData>
  <sheetProtection/>
  <mergeCells count="5">
    <mergeCell ref="A1:G7"/>
    <mergeCell ref="B11:D11"/>
    <mergeCell ref="E11:G11"/>
    <mergeCell ref="B35:D35"/>
    <mergeCell ref="E35:G35"/>
  </mergeCells>
  <hyperlinks>
    <hyperlink ref="A9" location="Index!A1" display="GO TO INDEX"/>
  </hyperlink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2:H65"/>
  <sheetViews>
    <sheetView zoomScalePageLayoutView="0" workbookViewId="0" topLeftCell="A1">
      <selection activeCell="C5" sqref="C5"/>
    </sheetView>
  </sheetViews>
  <sheetFormatPr defaultColWidth="9.140625" defaultRowHeight="15"/>
  <cols>
    <col min="2" max="2" width="86.8515625" style="0" customWidth="1"/>
    <col min="3" max="3" width="13.28125" style="0" customWidth="1"/>
    <col min="4" max="4" width="15.8515625" style="0" bestFit="1" customWidth="1"/>
    <col min="5" max="5" width="1.28515625" style="0" customWidth="1"/>
    <col min="6" max="6" width="84.28125" style="0" customWidth="1"/>
    <col min="7" max="7" width="10.57421875" style="0" bestFit="1" customWidth="1"/>
    <col min="8" max="8" width="14.8515625" style="0" bestFit="1" customWidth="1"/>
  </cols>
  <sheetData>
    <row r="2" spans="2:8" ht="18">
      <c r="B2" s="168" t="s">
        <v>125</v>
      </c>
      <c r="C2" s="168"/>
      <c r="D2" s="168"/>
      <c r="F2" s="168" t="s">
        <v>126</v>
      </c>
      <c r="G2" s="168"/>
      <c r="H2" s="168"/>
    </row>
    <row r="3" spans="2:8" ht="18.75">
      <c r="B3" s="126" t="s">
        <v>28</v>
      </c>
      <c r="C3" s="127" t="s">
        <v>101</v>
      </c>
      <c r="D3" s="128" t="s">
        <v>164</v>
      </c>
      <c r="F3" s="126" t="s">
        <v>28</v>
      </c>
      <c r="G3" s="127" t="s">
        <v>101</v>
      </c>
      <c r="H3" s="128" t="s">
        <v>164</v>
      </c>
    </row>
    <row r="4" spans="2:8" ht="15.75">
      <c r="B4" s="43" t="s">
        <v>8</v>
      </c>
      <c r="C4" s="130">
        <f>SUM(C5:C53)</f>
        <v>0</v>
      </c>
      <c r="D4" s="14">
        <f>SUM(D5:D53)</f>
        <v>0</v>
      </c>
      <c r="F4" s="43" t="s">
        <v>8</v>
      </c>
      <c r="G4" s="131">
        <f>SUM(G5:G53)</f>
        <v>0</v>
      </c>
      <c r="H4" s="132">
        <f>SUM(H5:H53)</f>
        <v>0</v>
      </c>
    </row>
    <row r="5" spans="2:8" ht="15.75">
      <c r="B5" s="24" t="s">
        <v>53</v>
      </c>
      <c r="C5" s="115">
        <f>IF('SHC system'!$B$29="Electricity, low voltage, Europe",'SHC system'!$D$29*'Specific impacts SHC system'!B32,0)</f>
        <v>0</v>
      </c>
      <c r="D5" s="15">
        <f>IF('SHC system'!$B$29="Electricity, low voltage, Europe",'SHC system'!$D$29*'Specific impacts SHC system'!E32,0)</f>
        <v>0</v>
      </c>
      <c r="F5" s="24" t="s">
        <v>53</v>
      </c>
      <c r="G5" s="133">
        <f>IF('Conventional system'!$B$36="Electricity, low voltage, Europe",'Conventional system'!$D$36*'Specific impacts conven. system'!B38,0)</f>
        <v>0</v>
      </c>
      <c r="H5" s="134">
        <f>IF('Conventional system'!$B$36="Electricity, low voltage, Europe",'Conventional system'!$D$36*'Specific impacts conven. system'!E38,0)</f>
        <v>0</v>
      </c>
    </row>
    <row r="6" spans="2:8" ht="15.75">
      <c r="B6" s="24" t="s">
        <v>52</v>
      </c>
      <c r="C6" s="115">
        <f>IF('SHC system'!$B$29="Electricity, low voltage, Austria (excluding import)",'SHC system'!$D$29*'Specific impacts SHC system'!B33,0)</f>
        <v>0</v>
      </c>
      <c r="D6" s="15">
        <f>IF('SHC system'!$B$29="Electricity, low voltage, Austria (excluding import)",'SHC system'!$D$29*'Specific impacts SHC system'!E33,0)</f>
        <v>0</v>
      </c>
      <c r="F6" s="24" t="s">
        <v>52</v>
      </c>
      <c r="G6" s="133">
        <f>IF('Conventional system'!$B$36="Electricity, low voltage, Austria (excluding import)",'Conventional system'!$D$36*'Specific impacts conven. system'!B39,0)</f>
        <v>0</v>
      </c>
      <c r="H6" s="134">
        <f>IF('Conventional system'!$B$36="Electricity, low voltage, Austria (excluding import)",'Conventional system'!$D$36*'Specific impacts conven. system'!E39,0)</f>
        <v>0</v>
      </c>
    </row>
    <row r="7" spans="2:8" ht="15.75">
      <c r="B7" s="24" t="s">
        <v>54</v>
      </c>
      <c r="C7" s="115">
        <f>IF('SHC system'!$B$29="Electricity, low voltage, Belgium (excluding import)",'SHC system'!$D$29*'Specific impacts SHC system'!B34,0)</f>
        <v>0</v>
      </c>
      <c r="D7" s="15">
        <f>IF('SHC system'!$B$29="Electricity, low voltage, Belgium (excluding import)",'SHC system'!$D$29*'Specific impacts SHC system'!E34,0)</f>
        <v>0</v>
      </c>
      <c r="F7" s="24" t="s">
        <v>54</v>
      </c>
      <c r="G7" s="133">
        <f>IF('Conventional system'!$B$36="Electricity, low voltage, Belgium (excluding import)",'Conventional system'!$D$36*'Specific impacts conven. system'!B40,0)</f>
        <v>0</v>
      </c>
      <c r="H7" s="134">
        <f>IF('Conventional system'!$B$36="Electricity, low voltage, Belgium (excluding import)",'Conventional system'!$D$36*'Specific impacts conven. system'!E40,0)</f>
        <v>0</v>
      </c>
    </row>
    <row r="8" spans="2:8" ht="15.75">
      <c r="B8" s="24" t="s">
        <v>55</v>
      </c>
      <c r="C8" s="115">
        <f>IF('SHC system'!$B$29="Electricity, low voltage, Bulgaria (excluding import)",'SHC system'!$D$29*'Specific impacts SHC system'!B35,0)</f>
        <v>0</v>
      </c>
      <c r="D8" s="15">
        <f>IF('SHC system'!$B$29="Electricity, low voltage, Bulgaria (excluding import)",'SHC system'!$D$29*'Specific impacts SHC system'!E35,0)</f>
        <v>0</v>
      </c>
      <c r="F8" s="24" t="s">
        <v>55</v>
      </c>
      <c r="G8" s="133">
        <f>IF('Conventional system'!$B$36="Electricity, low voltage, Bulgaria (excluding import)",'Conventional system'!$D$36*'Specific impacts conven. system'!B41,0)</f>
        <v>0</v>
      </c>
      <c r="H8" s="134">
        <f>IF('Conventional system'!$B$36="Electricity, low voltage, Bulgaria (excluding import)",'Conventional system'!$D$36*'Specific impacts conven. system'!E41,0)</f>
        <v>0</v>
      </c>
    </row>
    <row r="9" spans="2:8" ht="15.75">
      <c r="B9" s="24" t="s">
        <v>56</v>
      </c>
      <c r="C9" s="115">
        <f>IF('SHC system'!$B$29="Electricity, low voltage, Croatia (excluding import)",'SHC system'!$D$29*'Specific impacts SHC system'!B36,0)</f>
        <v>0</v>
      </c>
      <c r="D9" s="15">
        <f>IF('SHC system'!$B$29="Electricity, low voltage, Croatia (excluding import)",'SHC system'!$D$29*'Specific impacts SHC system'!E36,0)</f>
        <v>0</v>
      </c>
      <c r="F9" s="24" t="s">
        <v>56</v>
      </c>
      <c r="G9" s="133">
        <f>IF('Conventional system'!$B$36="Electricity, low voltage, Croatia (excluding import)",'Conventional system'!$D$36*'Specific impacts conven. system'!B42,0)</f>
        <v>0</v>
      </c>
      <c r="H9" s="134">
        <f>IF('Conventional system'!$B$36="Electricity, low voltage, Croatia (excluding import)",'Conventional system'!$D$36*'Specific impacts conven. system'!E42,0)</f>
        <v>0</v>
      </c>
    </row>
    <row r="10" spans="2:8" ht="15.75">
      <c r="B10" s="24" t="s">
        <v>57</v>
      </c>
      <c r="C10" s="115">
        <f>IF('SHC system'!$B$29="Electricity, low voltage, Czech Republic (excluding import)",'SHC system'!$D$29*'Specific impacts SHC system'!B37,0)</f>
        <v>0</v>
      </c>
      <c r="D10" s="15">
        <f>IF('SHC system'!$B$29="Electricity, low voltage, Czech Republic (excluding import)",'SHC system'!$D$29*'Specific impacts SHC system'!E37,0)</f>
        <v>0</v>
      </c>
      <c r="F10" s="24" t="s">
        <v>57</v>
      </c>
      <c r="G10" s="133">
        <f>IF('Conventional system'!$B$36="Electricity, low voltage, Czech Republic (excluding import)",'Conventional system'!$D$36*'Specific impacts conven. system'!B43,0)</f>
        <v>0</v>
      </c>
      <c r="H10" s="134">
        <f>IF('Conventional system'!$B$36="Electricity, low voltage, Czech Republic (excluding import)",'Conventional system'!$D$36*'Specific impacts conven. system'!E43,0)</f>
        <v>0</v>
      </c>
    </row>
    <row r="11" spans="2:8" ht="15.75">
      <c r="B11" s="24" t="s">
        <v>58</v>
      </c>
      <c r="C11" s="115">
        <f>IF('SHC system'!$B$29="Electricity, low voltage, Denmark (excluding import)",'SHC system'!$D$29*'Specific impacts SHC system'!B38,0)</f>
        <v>0</v>
      </c>
      <c r="D11" s="15">
        <f>IF('SHC system'!$B$29="Electricity, low voltage, Denmark (excluding import)",'SHC system'!$D$29*'Specific impacts SHC system'!E38,0)</f>
        <v>0</v>
      </c>
      <c r="F11" s="24" t="s">
        <v>58</v>
      </c>
      <c r="G11" s="133">
        <f>IF('Conventional system'!$B$36="Electricity, low voltage, Denmark (excluding import)",'Conventional system'!$D$36*'Specific impacts conven. system'!B44,0)</f>
        <v>0</v>
      </c>
      <c r="H11" s="134">
        <f>IF('Conventional system'!$B$36="Electricity, low voltage, Denmark (excluding import)",'Conventional system'!$D$36*'Specific impacts conven. system'!E44,0)</f>
        <v>0</v>
      </c>
    </row>
    <row r="12" spans="2:8" ht="15.75">
      <c r="B12" s="24" t="s">
        <v>59</v>
      </c>
      <c r="C12" s="115">
        <f>IF('SHC system'!$B$29="Electricity, low voltage, Finland (excluding import)",'SHC system'!$D$29*'Specific impacts SHC system'!B39,0)</f>
        <v>0</v>
      </c>
      <c r="D12" s="15">
        <f>IF('SHC system'!$B$29="Electricity, low voltage, Finland (excluding import)",'SHC system'!$D$29*'Specific impacts SHC system'!E39,0)</f>
        <v>0</v>
      </c>
      <c r="F12" s="24" t="s">
        <v>59</v>
      </c>
      <c r="G12" s="133">
        <f>IF('Conventional system'!$B$36="Electricity, low voltage, Finland (excluding import)",'Conventional system'!$D$36*'Specific impacts conven. system'!B45,0)</f>
        <v>0</v>
      </c>
      <c r="H12" s="134">
        <f>IF('Conventional system'!$B$36="Electricity, low voltage, Finland (excluding import)",'Conventional system'!$D$36*'Specific impacts conven. system'!E45,0)</f>
        <v>0</v>
      </c>
    </row>
    <row r="13" spans="2:8" ht="15.75">
      <c r="B13" s="24" t="s">
        <v>60</v>
      </c>
      <c r="C13" s="115">
        <f>IF('SHC system'!$B$29="Electricity, low voltage, France (excluding import)",'SHC system'!$D$29*'Specific impacts SHC system'!B40,0)</f>
        <v>0</v>
      </c>
      <c r="D13" s="15">
        <f>IF('SHC system'!$B$29="Electricity, low voltage, France (excluding import)",'SHC system'!$D$29*'Specific impacts SHC system'!E40,0)</f>
        <v>0</v>
      </c>
      <c r="F13" s="24" t="s">
        <v>60</v>
      </c>
      <c r="G13" s="133">
        <f>IF('Conventional system'!$B$36="Electricity, low voltage, France (excluding import)",'Conventional system'!$D$36*'Specific impacts conven. system'!B46,0)</f>
        <v>0</v>
      </c>
      <c r="H13" s="134">
        <f>IF('Conventional system'!$B$36="Electricity, low voltage, France (excluding import)",'Conventional system'!$D$36*'Specific impacts conven. system'!E46,0)</f>
        <v>0</v>
      </c>
    </row>
    <row r="14" spans="2:8" ht="15.75">
      <c r="B14" s="24" t="s">
        <v>61</v>
      </c>
      <c r="C14" s="115">
        <f>IF('SHC system'!$B$29="Electricity, low voltage, Germany (excluding import)",'SHC system'!$D$29*'Specific impacts SHC system'!B41,0)</f>
        <v>0</v>
      </c>
      <c r="D14" s="15">
        <f>IF('SHC system'!$B$29="Electricity, low voltage, Germany (excluding import)",'SHC system'!$D$29*'Specific impacts SHC system'!E41,0)</f>
        <v>0</v>
      </c>
      <c r="F14" s="24" t="s">
        <v>61</v>
      </c>
      <c r="G14" s="133">
        <f>IF('Conventional system'!$B$36="Electricity, low voltage, Germany (excluding import)",'Conventional system'!$D$36*'Specific impacts conven. system'!B47,0)</f>
        <v>0</v>
      </c>
      <c r="H14" s="134">
        <f>IF('Conventional system'!$B$36="Electricity, low voltage, Germany (excluding import)",'Conventional system'!$D$36*'Specific impacts conven. system'!E47,0)</f>
        <v>0</v>
      </c>
    </row>
    <row r="15" spans="2:8" ht="15.75">
      <c r="B15" s="24" t="s">
        <v>62</v>
      </c>
      <c r="C15" s="115">
        <f>IF('SHC system'!$B$29="Electricity, low voltage, Greece (excluding import)",'SHC system'!$D$29*'Specific impacts SHC system'!B42,0)</f>
        <v>0</v>
      </c>
      <c r="D15" s="15">
        <f>IF('SHC system'!$B$29="Electricity, low voltage, Greece (excluding import)",'SHC system'!$D$29*'Specific impacts SHC system'!E42,0)</f>
        <v>0</v>
      </c>
      <c r="F15" s="24" t="s">
        <v>62</v>
      </c>
      <c r="G15" s="133">
        <f>IF('Conventional system'!$B$36="Electricity, low voltage, Greece (excluding import)",'Conventional system'!$D$36*'Specific impacts conven. system'!B48,0)</f>
        <v>0</v>
      </c>
      <c r="H15" s="134">
        <f>IF('Conventional system'!$B$36="Electricity, low voltage, Greece (excluding import)",'Conventional system'!$D$36*'Specific impacts conven. system'!E48,0)</f>
        <v>0</v>
      </c>
    </row>
    <row r="16" spans="2:8" ht="15.75">
      <c r="B16" s="24" t="s">
        <v>63</v>
      </c>
      <c r="C16" s="115">
        <f>IF('SHC system'!$B$29="Electricity, low voltage, Hungary (excluding import)",'SHC system'!$D$29*'Specific impacts SHC system'!B43,0)</f>
        <v>0</v>
      </c>
      <c r="D16" s="15">
        <f>IF('SHC system'!$B$29="Electricity, low voltage, Hungary (excluding import)",'SHC system'!$D$29*'Specific impacts SHC system'!E43,0)</f>
        <v>0</v>
      </c>
      <c r="F16" s="24" t="s">
        <v>63</v>
      </c>
      <c r="G16" s="133">
        <f>IF('Conventional system'!$B$36="Electricity, low voltage, Hungary (excluding import)",'Conventional system'!$D$36*'Specific impacts conven. system'!B49,0)</f>
        <v>0</v>
      </c>
      <c r="H16" s="134">
        <f>IF('Conventional system'!$B$36="Electricity, low voltage, Hungary (excluding import)",'Conventional system'!$D$36*'Specific impacts conven. system'!E49,0)</f>
        <v>0</v>
      </c>
    </row>
    <row r="17" spans="2:8" ht="15.75">
      <c r="B17" s="24" t="s">
        <v>64</v>
      </c>
      <c r="C17" s="115">
        <f>IF('SHC system'!$B$29="Electricity, low voltage, Ireland (excluding import)",'SHC system'!$D$29*'Specific impacts SHC system'!B44,0)</f>
        <v>0</v>
      </c>
      <c r="D17" s="15">
        <f>IF('SHC system'!$B$29="Electricity, low voltage, Ireland (excluding import)",'SHC system'!$D$29*'Specific impacts SHC system'!E44,0)</f>
        <v>0</v>
      </c>
      <c r="F17" s="24" t="s">
        <v>64</v>
      </c>
      <c r="G17" s="133">
        <f>IF('Conventional system'!$B$36="Electricity, low voltage, Ireland (excluding import)",'Conventional system'!$D$36*'Specific impacts conven. system'!B50,0)</f>
        <v>0</v>
      </c>
      <c r="H17" s="134">
        <f>IF('Conventional system'!$B$36="Electricity, low voltage, Ireland (excluding import)",'Conventional system'!$D$36*'Specific impacts conven. system'!E50,0)</f>
        <v>0</v>
      </c>
    </row>
    <row r="18" spans="2:8" ht="15.75">
      <c r="B18" s="24" t="s">
        <v>65</v>
      </c>
      <c r="C18" s="115">
        <f>IF('SHC system'!$B$29="Electricity, low voltage, Italy (excluding import)",'SHC system'!$D$29*'Specific impacts SHC system'!B45,0)</f>
        <v>0</v>
      </c>
      <c r="D18" s="15">
        <f>IF('SHC system'!$B$29="Electricity, low voltage, Italy (excluding import)",'SHC system'!$D$29*'Specific impacts SHC system'!E45,0)</f>
        <v>0</v>
      </c>
      <c r="F18" s="24" t="s">
        <v>65</v>
      </c>
      <c r="G18" s="133">
        <f>IF('Conventional system'!$B$36="Electricity, low voltage, Italy (excluding import)",'Conventional system'!$D$36*'Specific impacts conven. system'!B51,0)</f>
        <v>0</v>
      </c>
      <c r="H18" s="134">
        <f>IF('Conventional system'!$B$36="Electricity, low voltage, Italy (excluding import)",'Conventional system'!$D$36*'Specific impacts conven. system'!E51,0)</f>
        <v>0</v>
      </c>
    </row>
    <row r="19" spans="2:8" ht="15.75">
      <c r="B19" s="24" t="s">
        <v>66</v>
      </c>
      <c r="C19" s="115">
        <f>IF('SHC system'!$B$29="Electricity, low voltage, Luxembourg (excluding import)",'SHC system'!$D$29*'Specific impacts SHC system'!B46,0)</f>
        <v>0</v>
      </c>
      <c r="D19" s="15">
        <f>IF('SHC system'!$B$29="Electricity, low voltage, Luxembourg (excluding import)",'SHC system'!$D$29*'Specific impacts SHC system'!E46,0)</f>
        <v>0</v>
      </c>
      <c r="F19" s="24" t="s">
        <v>66</v>
      </c>
      <c r="G19" s="133">
        <f>IF('Conventional system'!$B$36="Electricity, low voltage, Luxembourg (excluding import)",'Conventional system'!$D$36*'Specific impacts conven. system'!B52,0)</f>
        <v>0</v>
      </c>
      <c r="H19" s="134">
        <f>IF('Conventional system'!$B$36="Electricity, low voltage, Luxembourg (excluding import)",'Conventional system'!$D$36*'Specific impacts conven. system'!E52,0)</f>
        <v>0</v>
      </c>
    </row>
    <row r="20" spans="2:8" ht="15.75">
      <c r="B20" s="24" t="s">
        <v>67</v>
      </c>
      <c r="C20" s="115">
        <f>IF('SHC system'!$B$29="Electricity, low voltage, Netherlands (excluding import)",'SHC system'!$D$29*'Specific impacts SHC system'!B47,0)</f>
        <v>0</v>
      </c>
      <c r="D20" s="15">
        <f>IF('SHC system'!$B$29="Electricity, low voltage, Netherlands (excluding import)",'SHC system'!$D$29*'Specific impacts SHC system'!E47,0)</f>
        <v>0</v>
      </c>
      <c r="F20" s="24" t="s">
        <v>67</v>
      </c>
      <c r="G20" s="133">
        <f>IF('Conventional system'!$B$36="Electricity, low voltage, Netherlands (excluding import)",'Conventional system'!$D$36*'Specific impacts conven. system'!B53,0)</f>
        <v>0</v>
      </c>
      <c r="H20" s="134">
        <f>IF('Conventional system'!$B$36="Electricity, low voltage, Netherlands (excluding import)",'Conventional system'!$D$36*'Specific impacts conven. system'!E53,0)</f>
        <v>0</v>
      </c>
    </row>
    <row r="21" spans="2:8" ht="15.75">
      <c r="B21" s="24" t="s">
        <v>68</v>
      </c>
      <c r="C21" s="115">
        <f>IF('SHC system'!$B$29="Electricity, low voltage, Poland (excluding import)",'SHC system'!$D$29*'Specific impacts SHC system'!B48,0)</f>
        <v>0</v>
      </c>
      <c r="D21" s="15">
        <f>IF('SHC system'!$B$29="Electricity, low voltage, Poland (excluding import)",'SHC system'!$D$29*'Specific impacts SHC system'!E48,0)</f>
        <v>0</v>
      </c>
      <c r="F21" s="24" t="s">
        <v>68</v>
      </c>
      <c r="G21" s="133">
        <f>IF('Conventional system'!$B$36="Electricity, low voltage, Poland (excluding import)",'Conventional system'!$D$36*'Specific impacts conven. system'!B54,0)</f>
        <v>0</v>
      </c>
      <c r="H21" s="134">
        <f>IF('Conventional system'!$B$36="Electricity, low voltage, Poland (excluding import)",'Conventional system'!$D$36*'Specific impacts conven. system'!E54,0)</f>
        <v>0</v>
      </c>
    </row>
    <row r="22" spans="2:8" ht="15.75">
      <c r="B22" s="24" t="s">
        <v>69</v>
      </c>
      <c r="C22" s="115">
        <f>IF('SHC system'!$B$29="Electricity, low voltage, Portugal (excluding import)",'SHC system'!$D$29*'Specific impacts SHC system'!B49,0)</f>
        <v>0</v>
      </c>
      <c r="D22" s="15">
        <f>IF('SHC system'!$B$29="Electricity, low voltage, Portugal (excluding import)",'SHC system'!$D$29*'Specific impacts SHC system'!E49,0)</f>
        <v>0</v>
      </c>
      <c r="F22" s="24" t="s">
        <v>69</v>
      </c>
      <c r="G22" s="133">
        <f>IF('Conventional system'!$B$36="Electricity, low voltage, Portugal (excluding import)",'Conventional system'!$D$36*'Specific impacts conven. system'!B55,0)</f>
        <v>0</v>
      </c>
      <c r="H22" s="134">
        <f>IF('Conventional system'!$B$36="Electricity, low voltage, Portugal (excluding import)",'Conventional system'!$D$36*'Specific impacts conven. system'!E55,0)</f>
        <v>0</v>
      </c>
    </row>
    <row r="23" spans="2:8" ht="15.75">
      <c r="B23" s="24" t="s">
        <v>70</v>
      </c>
      <c r="C23" s="115">
        <f>IF('SHC system'!$B$29="Electricity, low voltage, Romania (excluding import)",'SHC system'!$D$29*'Specific impacts SHC system'!B50,0)</f>
        <v>0</v>
      </c>
      <c r="D23" s="15">
        <f>IF('SHC system'!$B$29="Electricity, low voltage, Romania (excluding import)",'SHC system'!$D$29*'Specific impacts SHC system'!E50,0)</f>
        <v>0</v>
      </c>
      <c r="F23" s="24" t="s">
        <v>70</v>
      </c>
      <c r="G23" s="133">
        <f>IF('Conventional system'!$B$36="Electricity, low voltage, Romania (excluding import)",'Conventional system'!$D$36*'Specific impacts conven. system'!B56,0)</f>
        <v>0</v>
      </c>
      <c r="H23" s="134">
        <f>IF('Conventional system'!$B$36="Electricity, low voltage, Romania (excluding import)",'Conventional system'!$D$36*'Specific impacts conven. system'!E56,0)</f>
        <v>0</v>
      </c>
    </row>
    <row r="24" spans="2:8" ht="15.75">
      <c r="B24" s="24" t="s">
        <v>71</v>
      </c>
      <c r="C24" s="115">
        <f>IF('SHC system'!$B$29="Electricity, low voltage, Slovakia (excluding import)",'SHC system'!$D$29*'Specific impacts SHC system'!B51,0)</f>
        <v>0</v>
      </c>
      <c r="D24" s="15">
        <f>IF('SHC system'!$B$29="Electricity, low voltage, Slovakia (excluding import)",'SHC system'!$D$29*'Specific impacts SHC system'!E51,0)</f>
        <v>0</v>
      </c>
      <c r="F24" s="24" t="s">
        <v>71</v>
      </c>
      <c r="G24" s="133">
        <f>IF('Conventional system'!$B$36="Electricity, low voltage, Slovakia (excluding import)",'Conventional system'!$D$36*'Specific impacts conven. system'!B57,0)</f>
        <v>0</v>
      </c>
      <c r="H24" s="134">
        <f>IF('Conventional system'!$B$36="Electricity, low voltage, Slovakia (excluding import)",'Conventional system'!$D$36*'Specific impacts conven. system'!E57,0)</f>
        <v>0</v>
      </c>
    </row>
    <row r="25" spans="2:8" ht="15.75">
      <c r="B25" s="24" t="s">
        <v>72</v>
      </c>
      <c r="C25" s="115">
        <f>IF('SHC system'!$B$29="Electricity, low voltage, Slovenia (excluding import)",'SHC system'!$D$29*'Specific impacts SHC system'!B52,0)</f>
        <v>0</v>
      </c>
      <c r="D25" s="15">
        <f>IF('SHC system'!$B$29="Electricity, low voltage, Slovenia (excluding import)",'SHC system'!$D$29*'Specific impacts SHC system'!E52,0)</f>
        <v>0</v>
      </c>
      <c r="F25" s="24" t="s">
        <v>72</v>
      </c>
      <c r="G25" s="133">
        <f>IF('Conventional system'!$B$36="Electricity, low voltage, Slovenia (excluding import)",'Conventional system'!$D$36*'Specific impacts conven. system'!B58,0)</f>
        <v>0</v>
      </c>
      <c r="H25" s="134">
        <f>IF('Conventional system'!$B$36="Electricity, low voltage, Slovenia (excluding import)",'Conventional system'!$D$36*'Specific impacts conven. system'!E58,0)</f>
        <v>0</v>
      </c>
    </row>
    <row r="26" spans="2:8" ht="15.75">
      <c r="B26" s="24" t="s">
        <v>73</v>
      </c>
      <c r="C26" s="115">
        <f>IF('SHC system'!$B$29="Electricity, low voltage, Spain (excluding import)",'SHC system'!$D$29*'Specific impacts SHC system'!B53,0)</f>
        <v>0</v>
      </c>
      <c r="D26" s="15">
        <f>IF('SHC system'!$B$29="Electricity, low voltage, Spain (excluding import)",'SHC system'!$D$29*'Specific impacts SHC system'!E53,0)</f>
        <v>0</v>
      </c>
      <c r="F26" s="24" t="s">
        <v>73</v>
      </c>
      <c r="G26" s="133">
        <f>IF('Conventional system'!$B$36="Electricity, low voltage, Spain (excluding import)",'Conventional system'!$D$36*'Specific impacts conven. system'!B59,0)</f>
        <v>0</v>
      </c>
      <c r="H26" s="134">
        <f>IF('Conventional system'!$B$36="Electricity, low voltage, Spain (excluding import)",'Conventional system'!$D$36*'Specific impacts conven. system'!E59,0)</f>
        <v>0</v>
      </c>
    </row>
    <row r="27" spans="2:8" ht="15.75">
      <c r="B27" s="24" t="s">
        <v>74</v>
      </c>
      <c r="C27" s="115">
        <f>IF('SHC system'!$B$29="Electricity, low voltage, Sweden (excluding import)",'SHC system'!$D$29*'Specific impacts SHC system'!B54,0)</f>
        <v>0</v>
      </c>
      <c r="D27" s="15">
        <f>IF('SHC system'!$B$29="Electricity, low voltage, Sweden (excluding import)",'SHC system'!$D$29*'Specific impacts SHC system'!E54,0)</f>
        <v>0</v>
      </c>
      <c r="F27" s="24" t="s">
        <v>74</v>
      </c>
      <c r="G27" s="133">
        <f>IF('Conventional system'!$B$36="Electricity, low voltage, Sweden (excluding import)",'Conventional system'!$D$36*'Specific impacts conven. system'!B60,0)</f>
        <v>0</v>
      </c>
      <c r="H27" s="134">
        <f>IF('Conventional system'!$B$36="Electricity, low voltage, Sweden (excluding import)",'Conventional system'!$D$36*'Specific impacts conven. system'!E60,0)</f>
        <v>0</v>
      </c>
    </row>
    <row r="28" spans="2:8" ht="15.75">
      <c r="B28" s="24" t="s">
        <v>75</v>
      </c>
      <c r="C28" s="115">
        <f>IF('SHC system'!$B$29="Electricity, low voltage, Switzerland (excluding import)",'SHC system'!$D$29*'Specific impacts SHC system'!B55,0)</f>
        <v>0</v>
      </c>
      <c r="D28" s="15">
        <f>IF('SHC system'!$B$29="Electricity, low voltage, Switzerland (excluding import)",'SHC system'!$D$29*'Specific impacts SHC system'!E55,0)</f>
        <v>0</v>
      </c>
      <c r="F28" s="24" t="s">
        <v>75</v>
      </c>
      <c r="G28" s="133">
        <f>IF('Conventional system'!$B$36="Electricity, low voltage, Switzerland (excluding import)",'Conventional system'!$D$36*'Specific impacts conven. system'!B61,0)</f>
        <v>0</v>
      </c>
      <c r="H28" s="134">
        <f>IF('Conventional system'!$B$36="Electricity, low voltage, Switzerland (excluding import)",'Conventional system'!$D$36*'Specific impacts conven. system'!E61,0)</f>
        <v>0</v>
      </c>
    </row>
    <row r="29" spans="2:8" ht="15.75">
      <c r="B29" s="24" t="s">
        <v>76</v>
      </c>
      <c r="C29" s="115">
        <f>IF('SHC system'!$B$29="Electricity, low voltage, United Kingdom (excluding import)",'SHC system'!$D$29*'Specific impacts SHC system'!B56,0)</f>
        <v>0</v>
      </c>
      <c r="D29" s="15">
        <f>IF('SHC system'!$B$29="Electricity, low voltage, United Kingdom (excluding import)",'SHC system'!$D$29*'Specific impacts SHC system'!E56,0)</f>
        <v>0</v>
      </c>
      <c r="F29" s="24" t="s">
        <v>76</v>
      </c>
      <c r="G29" s="133">
        <f>IF('Conventional system'!$B$36="Electricity, low voltage, United Kingdom (excluding import)",'Conventional system'!$D$36*'Specific impacts conven. system'!B62,0)</f>
        <v>0</v>
      </c>
      <c r="H29" s="134">
        <f>IF('Conventional system'!$B$36="Electricity, low voltage, United Kingdom (excluding import)",'Conventional system'!$D$36*'Specific impacts conven. system'!E62,0)</f>
        <v>0</v>
      </c>
    </row>
    <row r="30" spans="2:8" ht="15.75">
      <c r="B30" s="24" t="s">
        <v>21</v>
      </c>
      <c r="C30" s="115">
        <f>IF('SHC system'!$B$29="Electricity, low voltage, Austria (including import)",'SHC system'!$D$29*'Specific impacts SHC system'!B57,0)</f>
        <v>0</v>
      </c>
      <c r="D30" s="15">
        <f>IF('SHC system'!$B$29="Electricity, low voltage, Austria (including import)",'SHC system'!$D$29*'Specific impacts SHC system'!E57,0)</f>
        <v>0</v>
      </c>
      <c r="F30" s="24" t="s">
        <v>21</v>
      </c>
      <c r="G30" s="133">
        <f>IF('Conventional system'!$B$36="Electricity, low voltage, Austria (including import)",'Conventional system'!$D$36*'Specific impacts conven. system'!B63,0)</f>
        <v>0</v>
      </c>
      <c r="H30" s="134">
        <f>IF('Conventional system'!$B$36="Electricity, low voltage, Austria (including import)",'Conventional system'!$D$36*'Specific impacts conven. system'!E63,0)</f>
        <v>0</v>
      </c>
    </row>
    <row r="31" spans="2:8" ht="15.75">
      <c r="B31" s="24" t="s">
        <v>29</v>
      </c>
      <c r="C31" s="115">
        <f>IF('SHC system'!$B$29="Electricity, low voltage, Belgium (including import)",'SHC system'!$D$29*'Specific impacts SHC system'!B58,0)</f>
        <v>0</v>
      </c>
      <c r="D31" s="15">
        <f>IF('SHC system'!$B$29="Electricity, low voltage, Belgium (including import)",'SHC system'!$D$29*'Specific impacts SHC system'!E58,0)</f>
        <v>0</v>
      </c>
      <c r="F31" s="24" t="s">
        <v>29</v>
      </c>
      <c r="G31" s="133">
        <f>IF('Conventional system'!$B$36="Electricity, low voltage, Belgium (including import)",'Conventional system'!$D$36*'Specific impacts conven. system'!B64,0)</f>
        <v>0</v>
      </c>
      <c r="H31" s="134">
        <f>IF('Conventional system'!$B$36="Electricity, low voltage, Belgium (including import)",'Conventional system'!$D$36*'Specific impacts conven. system'!E64,0)</f>
        <v>0</v>
      </c>
    </row>
    <row r="32" spans="2:8" ht="15.75">
      <c r="B32" s="24" t="s">
        <v>30</v>
      </c>
      <c r="C32" s="115">
        <f>IF('SHC system'!$B$29="Electricity, low voltage, Bulgaria (including import)",'SHC system'!$D$29*'Specific impacts SHC system'!B59,0)</f>
        <v>0</v>
      </c>
      <c r="D32" s="15">
        <f>IF('SHC system'!$B$29="Electricity, low voltage, Bulgaria (including import)",'SHC system'!$D$29*'Specific impacts SHC system'!E59,0)</f>
        <v>0</v>
      </c>
      <c r="F32" s="24" t="s">
        <v>30</v>
      </c>
      <c r="G32" s="133">
        <f>IF('Conventional system'!$B$36="Electricity, low voltage, Bulgaria (including import)",'Conventional system'!$D$36*'Specific impacts conven. system'!B65,0)</f>
        <v>0</v>
      </c>
      <c r="H32" s="134">
        <f>IF('Conventional system'!$B$36="Electricity, low voltage, Bulgaria (including import)",'Conventional system'!$D$36*'Specific impacts conven. system'!E65,0)</f>
        <v>0</v>
      </c>
    </row>
    <row r="33" spans="2:8" ht="15.75">
      <c r="B33" s="24" t="s">
        <v>40</v>
      </c>
      <c r="C33" s="115">
        <f>IF('SHC system'!$B$29="Electricity, low voltage, Croatia (including import)",'SHC system'!$D$29*'Specific impacts SHC system'!B60,0)</f>
        <v>0</v>
      </c>
      <c r="D33" s="15">
        <f>IF('SHC system'!$B$29="Electricity, low voltage, Croatia (including import)",'SHC system'!$D$29*'Specific impacts SHC system'!E60,0)</f>
        <v>0</v>
      </c>
      <c r="F33" s="24" t="s">
        <v>40</v>
      </c>
      <c r="G33" s="133">
        <f>IF('Conventional system'!$B$36="Electricity, low voltage, Croatia (including import)",'Conventional system'!$D$36*'Specific impacts conven. system'!B66,0)</f>
        <v>0</v>
      </c>
      <c r="H33" s="134">
        <f>IF('Conventional system'!$B$36="Electricity, low voltage, Croatia (including import)",'Conventional system'!$D$36*'Specific impacts conven. system'!E66,0)</f>
        <v>0</v>
      </c>
    </row>
    <row r="34" spans="2:8" ht="15.75">
      <c r="B34" s="24" t="s">
        <v>32</v>
      </c>
      <c r="C34" s="115">
        <f>IF('SHC system'!$B$29="Electricity, low voltage, Czech Republic (including import)",'SHC system'!$D$29*'Specific impacts SHC system'!B61,0)</f>
        <v>0</v>
      </c>
      <c r="D34" s="15">
        <f>IF('SHC system'!$B$29="Electricity, low voltage, Czech Republic (including import)",'SHC system'!$D$29*'Specific impacts SHC system'!E61,0)</f>
        <v>0</v>
      </c>
      <c r="F34" s="24" t="s">
        <v>32</v>
      </c>
      <c r="G34" s="133">
        <f>IF('Conventional system'!$B$36="Electricity, low voltage, Czech Republic (including import)",'Conventional system'!$D$36*'Specific impacts conven. system'!B67,0)</f>
        <v>0</v>
      </c>
      <c r="H34" s="134">
        <f>IF('Conventional system'!$B$36="Electricity, low voltage, Czech Republic (including import)",'Conventional system'!$D$36*'Specific impacts conven. system'!E67,0)</f>
        <v>0</v>
      </c>
    </row>
    <row r="35" spans="2:8" ht="15.75">
      <c r="B35" s="24" t="s">
        <v>34</v>
      </c>
      <c r="C35" s="115">
        <f>IF('SHC system'!$B$29="Electricity, low voltage, Denmark (including import)",'SHC system'!$D$29*'Specific impacts SHC system'!B62,0)</f>
        <v>0</v>
      </c>
      <c r="D35" s="15">
        <f>IF('SHC system'!$B$29="Electricity, low voltage, Denmark (including import)",'SHC system'!$D$29*'Specific impacts SHC system'!E62,0)</f>
        <v>0</v>
      </c>
      <c r="F35" s="24" t="s">
        <v>34</v>
      </c>
      <c r="G35" s="133">
        <f>IF('Conventional system'!$B$36="Electricity, low voltage, Denmark (including import)",'Conventional system'!$D$36*'Specific impacts conven. system'!B68,0)</f>
        <v>0</v>
      </c>
      <c r="H35" s="134">
        <f>IF('Conventional system'!$B$36="Electricity, low voltage, Denmark (including import)",'Conventional system'!$D$36*'Specific impacts conven. system'!E68,0)</f>
        <v>0</v>
      </c>
    </row>
    <row r="36" spans="2:8" ht="15.75">
      <c r="B36" s="24" t="s">
        <v>36</v>
      </c>
      <c r="C36" s="115">
        <f>IF('SHC system'!$B$29="Electricity, low voltage, Finland (including import)",'SHC system'!$D$29*'Specific impacts SHC system'!B63,0)</f>
        <v>0</v>
      </c>
      <c r="D36" s="15">
        <f>IF('SHC system'!$B$29="Electricity, low voltage, Finland (including import)",'SHC system'!$D$29*'Specific impacts SHC system'!E63,0)</f>
        <v>0</v>
      </c>
      <c r="F36" s="24" t="s">
        <v>36</v>
      </c>
      <c r="G36" s="133">
        <f>IF('Conventional system'!$B$36="Electricity, low voltage, Finland (including import)",'Conventional system'!$D$36*'Specific impacts conven. system'!B69,0)</f>
        <v>0</v>
      </c>
      <c r="H36" s="134">
        <f>IF('Conventional system'!$B$36="Electricity, low voltage, Finland (including import)",'Conventional system'!$D$36*'Specific impacts conven. system'!E69,0)</f>
        <v>0</v>
      </c>
    </row>
    <row r="37" spans="2:8" ht="15.75">
      <c r="B37" s="24" t="s">
        <v>37</v>
      </c>
      <c r="C37" s="115">
        <f>IF('SHC system'!$B$29="Electricity, low voltage, France (including import)",'SHC system'!$D$29*'Specific impacts SHC system'!B64,0)</f>
        <v>0</v>
      </c>
      <c r="D37" s="15">
        <f>IF('SHC system'!$B$29="Electricity, low voltage, France (including import)",'SHC system'!$D$29*'Specific impacts SHC system'!E64,0)</f>
        <v>0</v>
      </c>
      <c r="F37" s="24" t="s">
        <v>37</v>
      </c>
      <c r="G37" s="133">
        <f>IF('Conventional system'!$B$36="Electricity, low voltage, France (including import)",'Conventional system'!$D$36*'Specific impacts conven. system'!B70,0)</f>
        <v>0</v>
      </c>
      <c r="H37" s="134">
        <f>IF('Conventional system'!$B$36="Electricity, low voltage, France (including import)",'Conventional system'!$D$36*'Specific impacts conven. system'!E70,0)</f>
        <v>0</v>
      </c>
    </row>
    <row r="38" spans="2:8" ht="15.75">
      <c r="B38" s="24" t="s">
        <v>33</v>
      </c>
      <c r="C38" s="115">
        <f>IF('SHC system'!$B$29="Electricity, low voltage, Germany (including import)",'SHC system'!$D$29*'Specific impacts SHC system'!B65,0)</f>
        <v>0</v>
      </c>
      <c r="D38" s="15">
        <f>IF('SHC system'!$B$29="Electricity, low voltage, Germany (including import)",'SHC system'!$D$29*'Specific impacts SHC system'!E65,0)</f>
        <v>0</v>
      </c>
      <c r="F38" s="24" t="s">
        <v>33</v>
      </c>
      <c r="G38" s="133">
        <f>IF('Conventional system'!$B$36="Electricity, low voltage, Germany (including import)",'Conventional system'!$D$36*'Specific impacts conven. system'!B71,0)</f>
        <v>0</v>
      </c>
      <c r="H38" s="134">
        <f>IF('Conventional system'!$B$36="Electricity, low voltage, Germany (including import)",'Conventional system'!$D$36*'Specific impacts conven. system'!E71,0)</f>
        <v>0</v>
      </c>
    </row>
    <row r="39" spans="2:8" ht="15.75">
      <c r="B39" s="24" t="s">
        <v>39</v>
      </c>
      <c r="C39" s="115">
        <f>IF('SHC system'!$B$29="Electricity, low voltage, Greece (including import)",'SHC system'!$D$29*'Specific impacts SHC system'!B66,0)</f>
        <v>0</v>
      </c>
      <c r="D39" s="15">
        <f>IF('SHC system'!$B$29="Electricity, low voltage, Greece (including import)",'SHC system'!$D$29*'Specific impacts SHC system'!E66,0)</f>
        <v>0</v>
      </c>
      <c r="F39" s="24" t="s">
        <v>39</v>
      </c>
      <c r="G39" s="133">
        <f>IF('Conventional system'!$B$36="Electricity, low voltage, Greece (including import)",'Conventional system'!$D$36*'Specific impacts conven. system'!B72,0)</f>
        <v>0</v>
      </c>
      <c r="H39" s="134">
        <f>IF('Conventional system'!$B$36="Electricity, low voltage, Greece (including import)",'Conventional system'!$D$36*'Specific impacts conven. system'!E72,0)</f>
        <v>0</v>
      </c>
    </row>
    <row r="40" spans="2:8" ht="15.75">
      <c r="B40" s="24" t="s">
        <v>41</v>
      </c>
      <c r="C40" s="115">
        <f>IF('SHC system'!$B$29="Electricity, low voltage, Hungary (including import)",'SHC system'!$D$29*'Specific impacts SHC system'!B67,0)</f>
        <v>0</v>
      </c>
      <c r="D40" s="15">
        <f>IF('SHC system'!$B$29="Electricity, low voltage, Hungary (including import)",'SHC system'!$D$29*'Specific impacts SHC system'!E67,0)</f>
        <v>0</v>
      </c>
      <c r="F40" s="24" t="s">
        <v>41</v>
      </c>
      <c r="G40" s="133">
        <f>IF('Conventional system'!$B$36="Electricity, low voltage, Hungary (including import)",'Conventional system'!$D$36*'Specific impacts conven. system'!B73,0)</f>
        <v>0</v>
      </c>
      <c r="H40" s="134">
        <f>IF('Conventional system'!$B$36="Electricity, low voltage, Hungary (including import)",'Conventional system'!$D$36*'Specific impacts conven. system'!E73,0)</f>
        <v>0</v>
      </c>
    </row>
    <row r="41" spans="2:8" ht="15.75">
      <c r="B41" s="24" t="s">
        <v>42</v>
      </c>
      <c r="C41" s="115">
        <f>IF('SHC system'!$B$29="Electricity, low voltage, Ireland (including import)",'SHC system'!$D$29*'Specific impacts SHC system'!B68,0)</f>
        <v>0</v>
      </c>
      <c r="D41" s="15">
        <f>IF('SHC system'!$B$29="Electricity, low voltage, Ireland (including import)",'SHC system'!$D$29*'Specific impacts SHC system'!E68,0)</f>
        <v>0</v>
      </c>
      <c r="F41" s="24" t="s">
        <v>42</v>
      </c>
      <c r="G41" s="133">
        <f>IF('Conventional system'!$B$36="Electricity, low voltage, Ireland (including import)",'Conventional system'!$D$36*'Specific impacts conven. system'!B74,0)</f>
        <v>0</v>
      </c>
      <c r="H41" s="134">
        <f>IF('Conventional system'!$B$36="Electricity, low voltage, Ireland (including import)",'Conventional system'!$D$36*'Specific impacts conven. system'!E74,0)</f>
        <v>0</v>
      </c>
    </row>
    <row r="42" spans="2:8" ht="15.75">
      <c r="B42" s="24" t="s">
        <v>43</v>
      </c>
      <c r="C42" s="115">
        <f>IF('SHC system'!$B$29="Electricity, low voltage, Italy (including import)",'SHC system'!$D$29*'Specific impacts SHC system'!B69,0)</f>
        <v>0</v>
      </c>
      <c r="D42" s="15">
        <f>IF('SHC system'!$B$29="Electricity, low voltage, Italy (including import)",'SHC system'!$D$29*'Specific impacts SHC system'!E69,0)</f>
        <v>0</v>
      </c>
      <c r="F42" s="24" t="s">
        <v>43</v>
      </c>
      <c r="G42" s="133">
        <f>IF('Conventional system'!$B$36="Electricity, low voltage, Italy (including import)",'Conventional system'!$D$36*'Specific impacts conven. system'!B75,0)</f>
        <v>0</v>
      </c>
      <c r="H42" s="134">
        <f>IF('Conventional system'!$B$36="Electricity, low voltage, Italy (including import)",'Conventional system'!$D$36*'Specific impacts conven. system'!E75,0)</f>
        <v>0</v>
      </c>
    </row>
    <row r="43" spans="2:8" ht="15.75">
      <c r="B43" s="24" t="s">
        <v>44</v>
      </c>
      <c r="C43" s="115">
        <f>IF('SHC system'!$B$29="Electricity, low voltage, Luxembourg (including import)",'SHC system'!$D$29*'Specific impacts SHC system'!B70,0)</f>
        <v>0</v>
      </c>
      <c r="D43" s="15">
        <f>IF('SHC system'!$B$29="Electricity, low voltage, Luxembourg (including import)",'SHC system'!$D$29*'Specific impacts SHC system'!E70,0)</f>
        <v>0</v>
      </c>
      <c r="F43" s="24" t="s">
        <v>44</v>
      </c>
      <c r="G43" s="133">
        <f>IF('Conventional system'!$B$36="Electricity, low voltage, Luxembourg (including import)",'Conventional system'!$D$36*'Specific impacts conven. system'!B76,0)</f>
        <v>0</v>
      </c>
      <c r="H43" s="134">
        <f>IF('Conventional system'!$B$36="Electricity, low voltage, Luxembourg (including import)",'Conventional system'!$D$36*'Specific impacts conven. system'!E76,0)</f>
        <v>0</v>
      </c>
    </row>
    <row r="44" spans="2:8" ht="15.75">
      <c r="B44" s="24" t="s">
        <v>45</v>
      </c>
      <c r="C44" s="115">
        <f>IF('SHC system'!$B$29="Electricity, low voltage, Netherlands (including import)",'SHC system'!$D$29*'Specific impacts SHC system'!B71,0)</f>
        <v>0</v>
      </c>
      <c r="D44" s="15">
        <f>IF('SHC system'!$B$29="Electricity, low voltage, Netherlands (including import)",'SHC system'!$D$29*'Specific impacts SHC system'!E71,0)</f>
        <v>0</v>
      </c>
      <c r="F44" s="24" t="s">
        <v>45</v>
      </c>
      <c r="G44" s="133">
        <f>IF('Conventional system'!$B$36="Electricity, low voltage, Netherlands (including import)",'Conventional system'!$D$36*'Specific impacts conven. system'!B77,0)</f>
        <v>0</v>
      </c>
      <c r="H44" s="134">
        <f>IF('Conventional system'!$B$36="Electricity, low voltage, Netherlands (including import)",'Conventional system'!$D$36*'Specific impacts conven. system'!E77,0)</f>
        <v>0</v>
      </c>
    </row>
    <row r="45" spans="2:8" ht="15.75">
      <c r="B45" s="24" t="s">
        <v>46</v>
      </c>
      <c r="C45" s="115">
        <f>IF('SHC system'!$B$29="Electricity, low voltage, Poland (including import)",'SHC system'!$D$29*'Specific impacts SHC system'!B72,0)</f>
        <v>0</v>
      </c>
      <c r="D45" s="15">
        <f>IF('SHC system'!$B$29="Electricity, low voltage, Poland (including import)",'SHC system'!$D$29*'Specific impacts SHC system'!E72,0)</f>
        <v>0</v>
      </c>
      <c r="F45" s="24" t="s">
        <v>46</v>
      </c>
      <c r="G45" s="133">
        <f>IF('Conventional system'!$B$36="Electricity, low voltage, Poland (including import)",'Conventional system'!$D$36*'Specific impacts conven. system'!B78,0)</f>
        <v>0</v>
      </c>
      <c r="H45" s="134">
        <f>IF('Conventional system'!$B$36="Electricity, low voltage, Poland (including import)",'Conventional system'!$D$36*'Specific impacts conven. system'!E78,0)</f>
        <v>0</v>
      </c>
    </row>
    <row r="46" spans="2:8" ht="15.75">
      <c r="B46" s="24" t="s">
        <v>47</v>
      </c>
      <c r="C46" s="115">
        <f>IF('SHC system'!$B$29="Electricity, low voltage, Portugal (including import)",'SHC system'!$D$29*'Specific impacts SHC system'!B73,0)</f>
        <v>0</v>
      </c>
      <c r="D46" s="15">
        <f>IF('SHC system'!$B$29="Electricity, low voltage, Portugal (including import)",'SHC system'!$D$29*'Specific impacts SHC system'!E73,0)</f>
        <v>0</v>
      </c>
      <c r="F46" s="24" t="s">
        <v>47</v>
      </c>
      <c r="G46" s="133">
        <f>IF('Conventional system'!$B$36="Electricity, low voltage, Portugal (including import)",'Conventional system'!$D$36*'Specific impacts conven. system'!B79,0)</f>
        <v>0</v>
      </c>
      <c r="H46" s="134">
        <f>IF('Conventional system'!$B$36="Electricity, low voltage, Portugal (including import)",'Conventional system'!$D$36*'Specific impacts conven. system'!E79,0)</f>
        <v>0</v>
      </c>
    </row>
    <row r="47" spans="2:8" ht="15.75">
      <c r="B47" s="24" t="s">
        <v>48</v>
      </c>
      <c r="C47" s="115">
        <f>IF('SHC system'!$B$29="Electricity, low voltage, Romania (including import)",'SHC system'!$D$29*'Specific impacts SHC system'!B74,0)</f>
        <v>0</v>
      </c>
      <c r="D47" s="15">
        <f>IF('SHC system'!$B$29="Electricity, low voltage, Romania (including import)",'SHC system'!$D$29*'Specific impacts SHC system'!E74,0)</f>
        <v>0</v>
      </c>
      <c r="F47" s="24" t="s">
        <v>48</v>
      </c>
      <c r="G47" s="133">
        <f>IF('Conventional system'!$B$36="Electricity, low voltage, Romania (including import)",'Conventional system'!$D$36*'Specific impacts conven. system'!B80,0)</f>
        <v>0</v>
      </c>
      <c r="H47" s="134">
        <f>IF('Conventional system'!$B$36="Electricity, low voltage, Romania (including import)",'Conventional system'!$D$36*'Specific impacts conven. system'!E80,0)</f>
        <v>0</v>
      </c>
    </row>
    <row r="48" spans="2:8" ht="15.75">
      <c r="B48" s="24" t="s">
        <v>51</v>
      </c>
      <c r="C48" s="115">
        <f>IF('SHC system'!$B$29="Electricity, low voltage, Slovakia (including import)",'SHC system'!$D$29*'Specific impacts SHC system'!B75,0)</f>
        <v>0</v>
      </c>
      <c r="D48" s="15">
        <f>IF('SHC system'!$B$29="Electricity, low voltage, Slovakia (including import)",'SHC system'!$D$29*'Specific impacts SHC system'!E75,0)</f>
        <v>0</v>
      </c>
      <c r="F48" s="24" t="s">
        <v>51</v>
      </c>
      <c r="G48" s="133">
        <f>IF('Conventional system'!$B$36="Electricity, low voltage, Slovakia (including import)",'Conventional system'!$D$36*'Specific impacts conven. system'!B81,0)</f>
        <v>0</v>
      </c>
      <c r="H48" s="134">
        <f>IF('Conventional system'!$B$36="Electricity, low voltage, Slovakia (including import)",'Conventional system'!$D$36*'Specific impacts conven. system'!E81,0)</f>
        <v>0</v>
      </c>
    </row>
    <row r="49" spans="2:8" ht="15.75">
      <c r="B49" s="24" t="s">
        <v>50</v>
      </c>
      <c r="C49" s="115">
        <f>IF('SHC system'!$B$29="Electricity, low voltage, Slovenia (including import)",'SHC system'!$D$29*'Specific impacts SHC system'!B76,0)</f>
        <v>0</v>
      </c>
      <c r="D49" s="15">
        <f>IF('SHC system'!$B$29="Electricity, low voltage, Slovenia (including import)",'SHC system'!$D$29*'Specific impacts SHC system'!E76,0)</f>
        <v>0</v>
      </c>
      <c r="F49" s="24" t="s">
        <v>50</v>
      </c>
      <c r="G49" s="133">
        <f>IF('Conventional system'!$B$36="Electricity, low voltage, Slovenia (including import)",'Conventional system'!$D$36*'Specific impacts conven. system'!B82,0)</f>
        <v>0</v>
      </c>
      <c r="H49" s="134">
        <f>IF('Conventional system'!$B$36="Electricity, low voltage, Slovenia (including import)",'Conventional system'!$D$36*'Specific impacts conven. system'!E82,0)</f>
        <v>0</v>
      </c>
    </row>
    <row r="50" spans="2:8" ht="15.75">
      <c r="B50" s="24" t="s">
        <v>35</v>
      </c>
      <c r="C50" s="115">
        <f>IF('SHC system'!$B$29="Electricity, low voltage, Spain (including import)",'SHC system'!$D$29*'Specific impacts SHC system'!B77,0)</f>
        <v>0</v>
      </c>
      <c r="D50" s="15">
        <f>IF('SHC system'!$B$29="Electricity, low voltage, Spania (including import)",'SHC system'!$D$29*'Specific impacts SHC system'!E77,0)</f>
        <v>0</v>
      </c>
      <c r="F50" s="24" t="s">
        <v>35</v>
      </c>
      <c r="G50" s="133">
        <f>IF('Conventional system'!$B$36="Electricity, low voltage, Spain (including import)",'Conventional system'!$D$36*'Specific impacts conven. system'!B83,0)</f>
        <v>0</v>
      </c>
      <c r="H50" s="134">
        <f>IF('Conventional system'!$B$36="Electricity, low voltage, Spania (including import)",'Conventional system'!$D$36*'Specific impacts conven. system'!E83,0)</f>
        <v>0</v>
      </c>
    </row>
    <row r="51" spans="2:8" ht="15.75">
      <c r="B51" s="24" t="s">
        <v>49</v>
      </c>
      <c r="C51" s="115">
        <f>IF('SHC system'!$B$29="Electricity, low voltage, Sweden (including import)",'SHC system'!$D$29*'Specific impacts SHC system'!B78,0)</f>
        <v>0</v>
      </c>
      <c r="D51" s="15">
        <f>IF('SHC system'!$B$29="Electricity, low voltage, Sweden (including import)",'SHC system'!$D$29*'Specific impacts SHC system'!E78,0)</f>
        <v>0</v>
      </c>
      <c r="F51" s="24" t="s">
        <v>49</v>
      </c>
      <c r="G51" s="133">
        <f>IF('Conventional system'!$B$36="Electricity, low voltage, Sweden (including import)",'Conventional system'!$D$36*'Specific impacts conven. system'!B84,0)</f>
        <v>0</v>
      </c>
      <c r="H51" s="134">
        <f>IF('Conventional system'!$B$36="Electricity, low voltage, Sweden (including import)",'Conventional system'!$D$36*'Specific impacts conven. system'!E84,0)</f>
        <v>0</v>
      </c>
    </row>
    <row r="52" spans="2:8" ht="15.75">
      <c r="B52" s="24" t="s">
        <v>31</v>
      </c>
      <c r="C52" s="115">
        <f>IF('SHC system'!$B$29="Electricity, low voltage, Switzerland (including import)",'SHC system'!$D$29*'Specific impacts SHC system'!B79,0)</f>
        <v>0</v>
      </c>
      <c r="D52" s="15">
        <f>IF('SHC system'!$B$29="Electricity, low voltage, Switzerland (including import)",'SHC system'!$D$29*'Specific impacts SHC system'!E79,0)</f>
        <v>0</v>
      </c>
      <c r="F52" s="24" t="s">
        <v>31</v>
      </c>
      <c r="G52" s="133">
        <f>IF('Conventional system'!$B$36="Electricity, low voltage, Switzerland (including import)",'Conventional system'!$D$36*'Specific impacts conven. system'!B85,0)</f>
        <v>0</v>
      </c>
      <c r="H52" s="134">
        <f>IF('Conventional system'!$B$36="Electricity, low voltage, Switzerland (including import)",'Conventional system'!$D$36*'Specific impacts conven. system'!E85,0)</f>
        <v>0</v>
      </c>
    </row>
    <row r="53" spans="2:8" ht="15.75">
      <c r="B53" s="24" t="s">
        <v>38</v>
      </c>
      <c r="C53" s="115">
        <f>IF('SHC system'!$B$29="Electricity, low voltage, United Kingdom (including import)",'SHC system'!$D$29*'Specific impacts SHC system'!B80,0)</f>
        <v>0</v>
      </c>
      <c r="D53" s="15">
        <f>IF('SHC system'!$B$29="Electricity, low voltage, United Kingdom (including import)",'SHC system'!$D$29*'Specific impacts SHC system'!E80,0)</f>
        <v>0</v>
      </c>
      <c r="F53" s="24" t="s">
        <v>38</v>
      </c>
      <c r="G53" s="133">
        <f>IF('Conventional system'!$B$36="Electricity, low voltage, United Kingdom (including import)",'Conventional system'!$D$36*'Specific impacts conven. system'!B86,0)</f>
        <v>0</v>
      </c>
      <c r="H53" s="134">
        <f>IF('Conventional system'!$B$36="Electricity, low voltage, United Kingdom (including import)",'Conventional system'!$D$36*'Specific impacts conven. system'!E86,0)</f>
        <v>0</v>
      </c>
    </row>
    <row r="54" spans="2:8" ht="15.75">
      <c r="B54" s="24" t="s">
        <v>93</v>
      </c>
      <c r="C54" s="115">
        <f>SUM(C55:C64)</f>
        <v>0</v>
      </c>
      <c r="D54" s="15">
        <f>SUM(D55:D64)</f>
        <v>0</v>
      </c>
      <c r="F54" s="24" t="s">
        <v>93</v>
      </c>
      <c r="G54" s="133">
        <f>SUM(G55:G64)</f>
        <v>0</v>
      </c>
      <c r="H54" s="134">
        <f>SUM(H55:H64)</f>
        <v>0</v>
      </c>
    </row>
    <row r="55" spans="2:8" ht="22.5" customHeight="1">
      <c r="B55" s="24" t="s">
        <v>78</v>
      </c>
      <c r="C55" s="115">
        <f>IF('SHC system'!$B$30="Natural gas, burned in boiler atmosferic low-NOx condensing non-modulating, &lt;100 kW, Europe",'SHC system'!$D$30*'Specific impacts SHC system'!B82,0)</f>
        <v>0</v>
      </c>
      <c r="D55" s="15">
        <f>IF('SHC system'!$B$30="Natural gas, burned in boiler atmosferic low-NOx condensing non-modulating, &lt;100 kW, Europe",'SHC system'!$D$30*'Specific impacts SHC system'!E82,0)</f>
        <v>0</v>
      </c>
      <c r="F55" s="24" t="s">
        <v>78</v>
      </c>
      <c r="G55" s="133">
        <f>IF('Conventional system'!$B$37="Natural gas, burned in boiler atmosferic low-NOx condensing non-modulating, &lt;100 kW, Europe",'Conventional system'!$D$37*'Specific impacts conven. system'!B88,0)</f>
        <v>0</v>
      </c>
      <c r="H55" s="134">
        <f>IF('Conventional system'!$B$37="Natural gas, burned in boiler atmosferic low-NOx condensing non-modulating, &lt;100 kW, Europe",'Conventional system'!$D$37*'Specific impacts conven. system'!E88,0)</f>
        <v>0</v>
      </c>
    </row>
    <row r="56" spans="2:8" ht="15.75">
      <c r="B56" s="24" t="s">
        <v>77</v>
      </c>
      <c r="C56" s="115">
        <f>IF('SHC system'!$B$30="Natural gas, burned in boiler atmosferic burner non-modulating, &lt;100 kW, Europe",'SHC system'!$D$30*'Specific impacts SHC system'!B83,0)</f>
        <v>0</v>
      </c>
      <c r="D56" s="15">
        <f>IF('SHC system'!$B$30="Natural gas, burned in boiler atmosferic burner non-modulating, &lt;100 kW, Europe",'SHC system'!$D$30*'Specific impacts SHC system'!E83,0)</f>
        <v>0</v>
      </c>
      <c r="F56" s="24" t="s">
        <v>77</v>
      </c>
      <c r="G56" s="133">
        <f>IF('Conventional system'!$B$37="Natural gas, burned in boiler atmosferic burner non-modulating, &lt;100 kW, Europe",'Conventional system'!$D$37*'Specific impacts conven. system'!B89,0)</f>
        <v>0</v>
      </c>
      <c r="H56" s="134">
        <f>IF('Conventional system'!$B$37="Natural gas, burned in boiler atmosferic burner non-modulating, &lt;100 kW, Europe",'Conventional system'!$D$37*'Specific impacts conven. system'!E89,0)</f>
        <v>0</v>
      </c>
    </row>
    <row r="57" spans="2:8" ht="15.75">
      <c r="B57" s="24" t="s">
        <v>79</v>
      </c>
      <c r="C57" s="115">
        <f>IF('SHC system'!$B$30="Natural gas, burned in boiler condensing modulating, &lt;100 kW, Europe",'SHC system'!$D$30*'Specific impacts SHC system'!B84,0)</f>
        <v>0</v>
      </c>
      <c r="D57" s="15">
        <f>IF('SHC system'!$B$30="Natural gas, burned in boiler condensing modulating, &lt;100 kW, Europe",'SHC system'!$D$30*'Specific impacts SHC system'!E84,0)</f>
        <v>0</v>
      </c>
      <c r="F57" s="24" t="s">
        <v>79</v>
      </c>
      <c r="G57" s="133">
        <f>IF('Conventional system'!$B$37="Natural gas, burned in boiler condensing modulating, &lt;100 kW, Europe",'Conventional system'!$D$37*'Specific impacts conven. system'!B90,0)</f>
        <v>0</v>
      </c>
      <c r="H57" s="134">
        <f>IF('Conventional system'!$B$37="Natural gas, burned in boiler condensing modulating, &lt;100 kW, Europe",'Conventional system'!$D$37*'Specific impacts conven. system'!E90,0)</f>
        <v>0</v>
      </c>
    </row>
    <row r="58" spans="2:8" ht="15.75">
      <c r="B58" s="24" t="s">
        <v>80</v>
      </c>
      <c r="C58" s="115">
        <f>IF('SHC system'!$B$30="Natural gas, burned in boiler condensing modulating, &gt;100 kW, Europe",'SHC system'!$D$30*'Specific impacts SHC system'!B85,0)</f>
        <v>0</v>
      </c>
      <c r="D58" s="15">
        <f>IF('SHC system'!$B$30="Natural gas, burned in boiler condensing modulating, &gt;100 kW, Europe",'SHC system'!$D$30*'Specific impacts SHC system'!E85,0)</f>
        <v>0</v>
      </c>
      <c r="F58" s="24" t="s">
        <v>80</v>
      </c>
      <c r="G58" s="133">
        <f>IF('Conventional system'!$B$37="Natural gas, burned in boiler condensing modulating, &gt;100 kW, Europe",'Conventional system'!$D$37*'Specific impacts conven. system'!B91,0)</f>
        <v>0</v>
      </c>
      <c r="H58" s="134">
        <f>IF('Conventional system'!$B$37="Natural gas, burned in boiler condensing modulating, &gt;100 kW, Europe",'Conventional system'!$D$37*'Specific impacts conven. system'!E91,0)</f>
        <v>0</v>
      </c>
    </row>
    <row r="59" spans="2:8" ht="15.75">
      <c r="B59" s="24" t="s">
        <v>142</v>
      </c>
      <c r="C59" s="115">
        <f>IF('SHC system'!$B$30="Natural gas, burned in boiler fan burner low-Nox non-modulating, &lt;100 kW, Europe",'SHC system'!$D$30*'Specific impacts SHC system'!B86,0)</f>
        <v>0</v>
      </c>
      <c r="D59" s="15">
        <f>IF('SHC system'!$B$30="Natural gas, burned in boiler fan burner low-Nox non-modulating, &lt;100 kW, Europe",'SHC system'!$D$30*'Specific impacts SHC system'!E86,0)</f>
        <v>0</v>
      </c>
      <c r="F59" s="24" t="s">
        <v>142</v>
      </c>
      <c r="G59" s="133">
        <f>IF('Conventional system'!$B$37="Natural gas, burned in boiler fan burner low-Nox non-modulating, &lt;100 kW, Europe",'Conventional system'!$D$37*'Specific impacts conven. system'!B92,0)</f>
        <v>0</v>
      </c>
      <c r="H59" s="134">
        <f>IF('Conventional system'!$B$37="Natural gas, burned in boiler fan burner low-Nox non-modulating, &lt;100 kW, Europe",'Conventional system'!$D$37*'Specific impacts conven. system'!E92,0)</f>
        <v>0</v>
      </c>
    </row>
    <row r="60" spans="2:8" ht="15.75">
      <c r="B60" s="24" t="s">
        <v>81</v>
      </c>
      <c r="C60" s="115">
        <f>IF('SHC system'!$B$30="Natural gas, burned in boiler fan burner non-modulating, &lt;100 kW, Europe",'SHC system'!$D$30*'Specific impacts SHC system'!B87,0)</f>
        <v>0</v>
      </c>
      <c r="D60" s="15">
        <f>IF('SHC system'!$B$30="Natural gas, burned in boiler fan burner non-modulating, &lt;100 kW, Europe",'SHC system'!$D$30*'Specific impacts SHC system'!E87,0)</f>
        <v>0</v>
      </c>
      <c r="F60" s="24" t="s">
        <v>81</v>
      </c>
      <c r="G60" s="133">
        <f>IF('Conventional system'!$B$37="Natural gas, burned in boiler fan burner non-modulating, &lt;100 kW, Europe",'Conventional system'!$D$37*'Specific impacts conven. system'!B93,0)</f>
        <v>0</v>
      </c>
      <c r="H60" s="134">
        <f>IF('Conventional system'!$B$37="Natural gas, burned in boiler fan burner non-modulating, &lt;100 kW, Europe",'Conventional system'!$D$37*'Specific impacts conven. system'!E93,0)</f>
        <v>0</v>
      </c>
    </row>
    <row r="61" spans="2:8" ht="15.75">
      <c r="B61" s="24" t="s">
        <v>82</v>
      </c>
      <c r="C61" s="115">
        <f>IF('SHC system'!$B$30="Natural gas, burned in boiler modulating, &lt;100 kW, Europe",'SHC system'!$D$30*'Specific impacts SHC system'!B88,0)</f>
        <v>0</v>
      </c>
      <c r="D61" s="15">
        <f>IF('SHC system'!$B$30="Natural gas, burned in boiler modulating, &lt;100 kW, Europe",'SHC system'!$D$30*'Specific impacts SHC system'!E88,0)</f>
        <v>0</v>
      </c>
      <c r="F61" s="24" t="s">
        <v>82</v>
      </c>
      <c r="G61" s="133">
        <f>IF('Conventional system'!$B$37="Natural gas, burned in boiler modulating, &lt;100 kW, Europe",'Conventional system'!$D$37*'Specific impacts conven. system'!B94,0)</f>
        <v>0</v>
      </c>
      <c r="H61" s="134">
        <f>IF('Conventional system'!$B$37="Natural gas, burned in boiler modulating, &lt;100 kW, Europe",'Conventional system'!$D$37*'Specific impacts conven. system'!E94,0)</f>
        <v>0</v>
      </c>
    </row>
    <row r="62" spans="2:8" ht="15.75">
      <c r="B62" s="24" t="s">
        <v>83</v>
      </c>
      <c r="C62" s="115">
        <f>IF('SHC system'!$B$30="Natural gas, burned in boiler modulating, &gt;100 kW, Europe",'SHC system'!$D$30*'Specific impacts SHC system'!B89,0)</f>
        <v>0</v>
      </c>
      <c r="D62" s="15">
        <f>IF('SHC system'!$B$30="Natural gas, burned in boiler modulating, &gt;100 kW, Europe",'SHC system'!$D$30*'Specific impacts SHC system'!E89,0)</f>
        <v>0</v>
      </c>
      <c r="F62" s="24" t="s">
        <v>83</v>
      </c>
      <c r="G62" s="133">
        <f>IF('Conventional system'!$B$37="Natural gas, burned in boiler modulating, &gt;100 kW, Europe",'Conventional system'!$D$37*'Specific impacts conven. system'!B95,0)</f>
        <v>0</v>
      </c>
      <c r="H62" s="134">
        <f>IF('Conventional system'!$B$37="Natural gas, burned in boiler modulating, &gt;100 kW, Europe",'Conventional system'!$D$37*'Specific impacts conven. system'!E95,0)</f>
        <v>0</v>
      </c>
    </row>
    <row r="63" spans="2:8" ht="15.75">
      <c r="B63" s="24" t="s">
        <v>84</v>
      </c>
      <c r="C63" s="115">
        <f>IF('SHC system'!$B$30="Natural gas, burned in industrial furnace, &gt;100 kW, Europe",'SHC system'!$D$30*'Specific impacts SHC system'!B90,0)</f>
        <v>0</v>
      </c>
      <c r="D63" s="15">
        <f>IF('SHC system'!$B$30="Natural gas, burned in industrial furnace, &gt;100 kW, Europe",'SHC system'!$D$30*'Specific impacts SHC system'!E90,0)</f>
        <v>0</v>
      </c>
      <c r="F63" s="24" t="s">
        <v>84</v>
      </c>
      <c r="G63" s="133">
        <f>IF('Conventional system'!$B$37="Natural gas, burned in industrial furnace, &gt;100 kW, Europe",'Conventional system'!$D$37*'Specific impacts conven. system'!B96,0)</f>
        <v>0</v>
      </c>
      <c r="H63" s="134">
        <f>IF('Conventional system'!$B$37="Natural gas, burned in industrial furnace, &gt;100 kW, Europe",'Conventional system'!$D$37*'Specific impacts conven. system'!E96,0)</f>
        <v>0</v>
      </c>
    </row>
    <row r="64" spans="2:8" ht="15.75">
      <c r="B64" s="25" t="s">
        <v>85</v>
      </c>
      <c r="C64" s="116">
        <f>IF('SHC system'!$B$30="Natural gas, burned in industrial furnace low-NOx, &gt;100 kW, Europe",'SHC system'!$D$30*'Specific impacts SHC system'!B91,0)</f>
        <v>0</v>
      </c>
      <c r="D64" s="16">
        <f>IF('SHC system'!$B$30="Natural gas, burned in industrial furnace low-NOx, &gt;100 kW, Europe",'SHC system'!$D$30*'Specific impacts SHC system'!E91,0)</f>
        <v>0</v>
      </c>
      <c r="F64" s="25" t="s">
        <v>85</v>
      </c>
      <c r="G64" s="135">
        <f>IF('Conventional system'!$B$37="Natural gas, burned in industrial furnace low-NOx, &gt;100 kW, Europe",'Conventional system'!$D$37*'Specific impacts conven. system'!B97,0)</f>
        <v>0</v>
      </c>
      <c r="H64" s="136">
        <f>IF('Conventional system'!$B$37="Natural gas, burned in industrial furnace low-NOx, &gt;100 kW, Europe",'Conventional system'!$D$37*'Specific impacts conven. system'!E97,0)</f>
        <v>0</v>
      </c>
    </row>
    <row r="65" spans="3:4" ht="15">
      <c r="C65" s="129"/>
      <c r="D65" s="129"/>
    </row>
  </sheetData>
  <sheetProtection/>
  <mergeCells count="2">
    <mergeCell ref="B2:D2"/>
    <mergeCell ref="F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9:J45"/>
  <sheetViews>
    <sheetView showGridLines="0" zoomScale="78" zoomScaleNormal="78" zoomScalePageLayoutView="0" workbookViewId="0" topLeftCell="A1">
      <selection activeCell="B9" sqref="B9"/>
    </sheetView>
  </sheetViews>
  <sheetFormatPr defaultColWidth="9.140625" defaultRowHeight="15"/>
  <cols>
    <col min="1" max="1" width="9.140625" style="1" customWidth="1"/>
    <col min="2" max="2" width="76.57421875" style="3" customWidth="1"/>
    <col min="3" max="3" width="15.8515625" style="1" bestFit="1" customWidth="1"/>
    <col min="4" max="4" width="10.8515625" style="1" bestFit="1" customWidth="1"/>
    <col min="5" max="5" width="12.140625" style="1" bestFit="1" customWidth="1"/>
    <col min="6" max="6" width="12.140625" style="1" customWidth="1"/>
    <col min="7" max="7" width="15.8515625" style="1" bestFit="1" customWidth="1"/>
    <col min="8" max="8" width="11.421875" style="1" bestFit="1" customWidth="1"/>
    <col min="9" max="9" width="12.140625" style="1" bestFit="1" customWidth="1"/>
    <col min="10" max="10" width="13.28125" style="1" customWidth="1"/>
    <col min="11" max="11" width="9.140625" style="1" customWidth="1"/>
    <col min="12" max="12" width="11.421875" style="1" bestFit="1" customWidth="1"/>
    <col min="13" max="16384" width="9.140625" style="1" customWidth="1"/>
  </cols>
  <sheetData>
    <row r="1" ht="15"/>
    <row r="2" ht="15"/>
    <row r="3" ht="15"/>
    <row r="4" s="2" customFormat="1" ht="16.5" customHeight="1"/>
    <row r="5" s="2" customFormat="1" ht="20.25" customHeight="1"/>
    <row r="6" s="2" customFormat="1" ht="16.5" customHeight="1"/>
    <row r="7" s="2" customFormat="1" ht="18" customHeight="1"/>
    <row r="8" s="2" customFormat="1" ht="18" customHeight="1" thickBot="1"/>
    <row r="9" s="2" customFormat="1" ht="16.5" customHeight="1" thickBot="1">
      <c r="B9" s="101" t="s">
        <v>165</v>
      </c>
    </row>
    <row r="10" s="2" customFormat="1" ht="19.5" customHeight="1"/>
    <row r="11" spans="2:10" s="2" customFormat="1" ht="18.75" customHeight="1">
      <c r="B11" s="169" t="s">
        <v>131</v>
      </c>
      <c r="C11" s="171" t="s">
        <v>175</v>
      </c>
      <c r="D11" s="172"/>
      <c r="E11" s="172"/>
      <c r="F11" s="172"/>
      <c r="G11" s="173" t="s">
        <v>176</v>
      </c>
      <c r="H11" s="174"/>
      <c r="I11" s="174"/>
      <c r="J11" s="174"/>
    </row>
    <row r="12" spans="2:10" s="2" customFormat="1" ht="18" customHeight="1">
      <c r="B12" s="170"/>
      <c r="C12" s="38" t="s">
        <v>18</v>
      </c>
      <c r="D12" s="38" t="s">
        <v>19</v>
      </c>
      <c r="E12" s="38" t="s">
        <v>20</v>
      </c>
      <c r="F12" s="38" t="s">
        <v>100</v>
      </c>
      <c r="G12" s="37" t="s">
        <v>18</v>
      </c>
      <c r="H12" s="37" t="s">
        <v>19</v>
      </c>
      <c r="I12" s="37" t="s">
        <v>20</v>
      </c>
      <c r="J12" s="37" t="s">
        <v>100</v>
      </c>
    </row>
    <row r="13" spans="2:10" s="2" customFormat="1" ht="18" customHeight="1">
      <c r="B13" s="23" t="s">
        <v>15</v>
      </c>
      <c r="C13" s="59">
        <f>'SHC system'!D12*'Specific impacts SHC system'!B13</f>
        <v>0</v>
      </c>
      <c r="D13" s="59" t="s">
        <v>102</v>
      </c>
      <c r="E13" s="59">
        <f>'SHC system'!D12*'Specific impacts SHC system'!C13</f>
        <v>0</v>
      </c>
      <c r="F13" s="59">
        <f>SUM(C13:E13)</f>
        <v>0</v>
      </c>
      <c r="G13" s="39">
        <f>'SHC system'!D12*'Specific impacts SHC system'!E13</f>
        <v>0</v>
      </c>
      <c r="H13" s="39" t="s">
        <v>102</v>
      </c>
      <c r="I13" s="39">
        <f>'SHC system'!D12*'Specific impacts SHC system'!F13</f>
        <v>0</v>
      </c>
      <c r="J13" s="114">
        <f>SUM(G13:I13)</f>
        <v>0</v>
      </c>
    </row>
    <row r="14" spans="2:10" s="2" customFormat="1" ht="16.5" customHeight="1">
      <c r="B14" s="24" t="s">
        <v>15</v>
      </c>
      <c r="C14" s="59">
        <f>'SHC system'!D13*'Specific impacts SHC system'!B14</f>
        <v>0</v>
      </c>
      <c r="D14" s="59" t="s">
        <v>102</v>
      </c>
      <c r="E14" s="59">
        <f>'SHC system'!D13*'Specific impacts SHC system'!C14</f>
        <v>0</v>
      </c>
      <c r="F14" s="59">
        <f>SUM(C14:E14)</f>
        <v>0</v>
      </c>
      <c r="G14" s="39">
        <f>'SHC system'!D13*'Specific impacts SHC system'!E14</f>
        <v>0</v>
      </c>
      <c r="H14" s="39" t="s">
        <v>102</v>
      </c>
      <c r="I14" s="39">
        <f>'SHC system'!D13*'Specific impacts SHC system'!F14</f>
        <v>0</v>
      </c>
      <c r="J14" s="114">
        <f>SUM(G14:I14)</f>
        <v>0</v>
      </c>
    </row>
    <row r="15" spans="2:10" s="2" customFormat="1" ht="18.75" customHeight="1">
      <c r="B15" s="24" t="s">
        <v>1</v>
      </c>
      <c r="C15" s="59">
        <f>'SHC system'!D14*'Specific impacts SHC system'!B15</f>
        <v>0</v>
      </c>
      <c r="D15" s="59" t="s">
        <v>102</v>
      </c>
      <c r="E15" s="59">
        <f>'SHC system'!D14*'Specific impacts SHC system'!C15</f>
        <v>0</v>
      </c>
      <c r="F15" s="59">
        <f aca="true" t="shared" si="0" ref="F15:F28">SUM(C15:E15)</f>
        <v>0</v>
      </c>
      <c r="G15" s="39">
        <f>'SHC system'!D14*'Specific impacts SHC system'!E15</f>
        <v>0</v>
      </c>
      <c r="H15" s="39" t="s">
        <v>102</v>
      </c>
      <c r="I15" s="39">
        <f>'SHC system'!D14*'Specific impacts SHC system'!F15</f>
        <v>0</v>
      </c>
      <c r="J15" s="114">
        <f aca="true" t="shared" si="1" ref="J15:J28">SUM(G15:I15)</f>
        <v>0</v>
      </c>
    </row>
    <row r="16" spans="2:10" s="2" customFormat="1" ht="17.25" customHeight="1">
      <c r="B16" s="24" t="s">
        <v>7</v>
      </c>
      <c r="C16" s="59">
        <f>'SHC system'!D15*'Specific impacts SHC system'!B16</f>
        <v>0</v>
      </c>
      <c r="D16" s="59" t="s">
        <v>102</v>
      </c>
      <c r="E16" s="59">
        <f>'SHC system'!D15*'Specific impacts SHC system'!C16</f>
        <v>0</v>
      </c>
      <c r="F16" s="59">
        <f t="shared" si="0"/>
        <v>0</v>
      </c>
      <c r="G16" s="39">
        <f>'SHC system'!D15*'Specific impacts SHC system'!E16</f>
        <v>0</v>
      </c>
      <c r="H16" s="39" t="s">
        <v>102</v>
      </c>
      <c r="I16" s="39">
        <f>'SHC system'!D15*'Specific impacts SHC system'!F16</f>
        <v>0</v>
      </c>
      <c r="J16" s="114">
        <f t="shared" si="1"/>
        <v>0</v>
      </c>
    </row>
    <row r="17" spans="2:10" s="2" customFormat="1" ht="14.25" customHeight="1">
      <c r="B17" s="24" t="s">
        <v>23</v>
      </c>
      <c r="C17" s="59">
        <f>'SHC system'!D16*'Specific impacts SHC system'!B17</f>
        <v>0</v>
      </c>
      <c r="D17" s="59" t="s">
        <v>102</v>
      </c>
      <c r="E17" s="59">
        <f>'SHC system'!D16*'Specific impacts SHC system'!C17</f>
        <v>0</v>
      </c>
      <c r="F17" s="59">
        <f t="shared" si="0"/>
        <v>0</v>
      </c>
      <c r="G17" s="39">
        <f>'SHC system'!D16*'Specific impacts SHC system'!E17</f>
        <v>0</v>
      </c>
      <c r="H17" s="39" t="s">
        <v>102</v>
      </c>
      <c r="I17" s="39">
        <f>'SHC system'!D16*'Specific impacts SHC system'!F17</f>
        <v>0</v>
      </c>
      <c r="J17" s="114">
        <f t="shared" si="1"/>
        <v>0</v>
      </c>
    </row>
    <row r="18" spans="2:10" s="2" customFormat="1" ht="19.5" customHeight="1">
      <c r="B18" s="24" t="s">
        <v>24</v>
      </c>
      <c r="C18" s="59">
        <f>'SHC system'!D17*'Specific impacts SHC system'!B18</f>
        <v>0</v>
      </c>
      <c r="D18" s="59" t="s">
        <v>102</v>
      </c>
      <c r="E18" s="59">
        <f>'SHC system'!D17*'Specific impacts SHC system'!C18</f>
        <v>0</v>
      </c>
      <c r="F18" s="59">
        <f t="shared" si="0"/>
        <v>0</v>
      </c>
      <c r="G18" s="39">
        <f>'SHC system'!D17*'Specific impacts SHC system'!E18</f>
        <v>0</v>
      </c>
      <c r="H18" s="39" t="s">
        <v>102</v>
      </c>
      <c r="I18" s="39">
        <f>'SHC system'!D17*'Specific impacts SHC system'!F18</f>
        <v>0</v>
      </c>
      <c r="J18" s="114">
        <f t="shared" si="1"/>
        <v>0</v>
      </c>
    </row>
    <row r="19" spans="2:10" s="2" customFormat="1" ht="15.75">
      <c r="B19" s="24" t="s">
        <v>2</v>
      </c>
      <c r="C19" s="59">
        <f>'SHC system'!D18*'Specific impacts SHC system'!B19</f>
        <v>0</v>
      </c>
      <c r="D19" s="59" t="s">
        <v>102</v>
      </c>
      <c r="E19" s="59">
        <f>'SHC system'!D18*'Specific impacts SHC system'!C19</f>
        <v>0</v>
      </c>
      <c r="F19" s="59">
        <f t="shared" si="0"/>
        <v>0</v>
      </c>
      <c r="G19" s="39">
        <f>'SHC system'!D18*'Specific impacts SHC system'!E19</f>
        <v>0</v>
      </c>
      <c r="H19" s="39" t="s">
        <v>102</v>
      </c>
      <c r="I19" s="39">
        <f>'SHC system'!D18*'Specific impacts SHC system'!F19</f>
        <v>0</v>
      </c>
      <c r="J19" s="114">
        <f t="shared" si="1"/>
        <v>0</v>
      </c>
    </row>
    <row r="20" spans="2:10" s="2" customFormat="1" ht="15.75">
      <c r="B20" s="24" t="s">
        <v>16</v>
      </c>
      <c r="C20" s="59">
        <f>'SHC system'!D19*'Specific impacts SHC system'!B20</f>
        <v>0</v>
      </c>
      <c r="D20" s="59" t="s">
        <v>102</v>
      </c>
      <c r="E20" s="59">
        <f>'SHC system'!D19*'Specific impacts SHC system'!C20</f>
        <v>0</v>
      </c>
      <c r="F20" s="59">
        <f t="shared" si="0"/>
        <v>0</v>
      </c>
      <c r="G20" s="39">
        <f>'SHC system'!D19*'Specific impacts SHC system'!E20</f>
        <v>0</v>
      </c>
      <c r="H20" s="39" t="s">
        <v>102</v>
      </c>
      <c r="I20" s="39">
        <f>'SHC system'!D19*'Specific impacts SHC system'!F20</f>
        <v>0</v>
      </c>
      <c r="J20" s="114">
        <f t="shared" si="1"/>
        <v>0</v>
      </c>
    </row>
    <row r="21" spans="2:10" s="2" customFormat="1" ht="15.75">
      <c r="B21" s="24" t="s">
        <v>17</v>
      </c>
      <c r="C21" s="59">
        <f>'SHC system'!D20*'Specific impacts SHC system'!B21</f>
        <v>0</v>
      </c>
      <c r="D21" s="59" t="s">
        <v>102</v>
      </c>
      <c r="E21" s="59">
        <f>'SHC system'!D20*'Specific impacts SHC system'!C21</f>
        <v>0</v>
      </c>
      <c r="F21" s="59">
        <f t="shared" si="0"/>
        <v>0</v>
      </c>
      <c r="G21" s="39">
        <f>'SHC system'!D20*'Specific impacts SHC system'!E21</f>
        <v>0</v>
      </c>
      <c r="H21" s="39" t="s">
        <v>102</v>
      </c>
      <c r="I21" s="39">
        <f>'SHC system'!D20*'Specific impacts SHC system'!F21</f>
        <v>0</v>
      </c>
      <c r="J21" s="114">
        <f t="shared" si="1"/>
        <v>0</v>
      </c>
    </row>
    <row r="22" spans="2:10" s="2" customFormat="1" ht="16.5" customHeight="1">
      <c r="B22" s="24" t="s">
        <v>5</v>
      </c>
      <c r="C22" s="59">
        <f>'SHC system'!D21*'Specific impacts SHC system'!B22</f>
        <v>0</v>
      </c>
      <c r="D22" s="59" t="s">
        <v>102</v>
      </c>
      <c r="E22" s="59">
        <f>'SHC system'!D21*'Specific impacts SHC system'!C22</f>
        <v>0</v>
      </c>
      <c r="F22" s="59">
        <f t="shared" si="0"/>
        <v>0</v>
      </c>
      <c r="G22" s="39">
        <f>'SHC system'!D21*'Specific impacts SHC system'!E22</f>
        <v>0</v>
      </c>
      <c r="H22" s="39" t="s">
        <v>102</v>
      </c>
      <c r="I22" s="39">
        <f>'SHC system'!D21*'Specific impacts SHC system'!F22</f>
        <v>0</v>
      </c>
      <c r="J22" s="114">
        <f t="shared" si="1"/>
        <v>0</v>
      </c>
    </row>
    <row r="23" spans="2:10" s="2" customFormat="1" ht="15.75">
      <c r="B23" s="24" t="s">
        <v>180</v>
      </c>
      <c r="C23" s="59">
        <f>'SHC system'!D22*'Specific impacts SHC system'!B23</f>
        <v>0</v>
      </c>
      <c r="D23" s="59" t="s">
        <v>102</v>
      </c>
      <c r="E23" s="59">
        <f>'SHC system'!D22*'Specific impacts SHC system'!C23</f>
        <v>0</v>
      </c>
      <c r="F23" s="59">
        <f t="shared" si="0"/>
        <v>0</v>
      </c>
      <c r="G23" s="39">
        <f>'SHC system'!D22*'Specific impacts SHC system'!E23</f>
        <v>0</v>
      </c>
      <c r="H23" s="39" t="s">
        <v>102</v>
      </c>
      <c r="I23" s="39">
        <f>'SHC system'!D22*'Specific impacts SHC system'!F23</f>
        <v>0</v>
      </c>
      <c r="J23" s="114">
        <f t="shared" si="1"/>
        <v>0</v>
      </c>
    </row>
    <row r="24" spans="2:10" s="2" customFormat="1" ht="16.5" customHeight="1">
      <c r="B24" s="24" t="s">
        <v>3</v>
      </c>
      <c r="C24" s="59">
        <f>'SHC system'!D23*'Specific impacts SHC system'!B24</f>
        <v>0</v>
      </c>
      <c r="D24" s="59" t="s">
        <v>102</v>
      </c>
      <c r="E24" s="59">
        <f>'SHC system'!D23*'Specific impacts SHC system'!C24</f>
        <v>0</v>
      </c>
      <c r="F24" s="59">
        <f t="shared" si="0"/>
        <v>0</v>
      </c>
      <c r="G24" s="39">
        <f>'SHC system'!D23*'Specific impacts SHC system'!E24</f>
        <v>0</v>
      </c>
      <c r="H24" s="39" t="s">
        <v>102</v>
      </c>
      <c r="I24" s="39">
        <f>'SHC system'!D23*'Specific impacts SHC system'!F24</f>
        <v>0</v>
      </c>
      <c r="J24" s="114">
        <f t="shared" si="1"/>
        <v>0</v>
      </c>
    </row>
    <row r="25" spans="2:10" s="2" customFormat="1" ht="19.5" customHeight="1">
      <c r="B25" s="24" t="s">
        <v>4</v>
      </c>
      <c r="C25" s="59">
        <f>'SHC system'!D24*'Specific impacts SHC system'!B25</f>
        <v>0</v>
      </c>
      <c r="D25" s="59" t="s">
        <v>102</v>
      </c>
      <c r="E25" s="59">
        <f>'SHC system'!D24*'Specific impacts SHC system'!C25</f>
        <v>0</v>
      </c>
      <c r="F25" s="59">
        <f t="shared" si="0"/>
        <v>0</v>
      </c>
      <c r="G25" s="39">
        <f>'SHC system'!D24*'Specific impacts SHC system'!E25</f>
        <v>0</v>
      </c>
      <c r="H25" s="39" t="s">
        <v>102</v>
      </c>
      <c r="I25" s="39">
        <f>'SHC system'!D24*'Specific impacts SHC system'!F25</f>
        <v>0</v>
      </c>
      <c r="J25" s="114">
        <f t="shared" si="1"/>
        <v>0</v>
      </c>
    </row>
    <row r="26" spans="2:10" s="2" customFormat="1" ht="17.25" customHeight="1">
      <c r="B26" s="24" t="s">
        <v>182</v>
      </c>
      <c r="C26" s="59">
        <f>'SHC system'!D25*'Specific impacts SHC system'!B26</f>
        <v>0</v>
      </c>
      <c r="D26" s="59" t="s">
        <v>102</v>
      </c>
      <c r="E26" s="59">
        <f>'SHC system'!D25*'Specific impacts SHC system'!C26</f>
        <v>0</v>
      </c>
      <c r="F26" s="59">
        <f t="shared" si="0"/>
        <v>0</v>
      </c>
      <c r="G26" s="39">
        <f>'SHC system'!D25*'Specific impacts SHC system'!E26</f>
        <v>0</v>
      </c>
      <c r="H26" s="39" t="s">
        <v>102</v>
      </c>
      <c r="I26" s="39">
        <f>'SHC system'!D25*'Specific impacts SHC system'!F26</f>
        <v>0</v>
      </c>
      <c r="J26" s="114">
        <f t="shared" si="1"/>
        <v>0</v>
      </c>
    </row>
    <row r="27" spans="2:10" s="2" customFormat="1" ht="15.75">
      <c r="B27" s="24" t="s">
        <v>6</v>
      </c>
      <c r="C27" s="59">
        <f>'SHC system'!D26*'Specific impacts SHC system'!B27</f>
        <v>0</v>
      </c>
      <c r="D27" s="59" t="s">
        <v>102</v>
      </c>
      <c r="E27" s="59">
        <f>'SHC system'!D26*'Specific impacts SHC system'!C27</f>
        <v>0</v>
      </c>
      <c r="F27" s="59">
        <f t="shared" si="0"/>
        <v>0</v>
      </c>
      <c r="G27" s="39">
        <f>'SHC system'!D26*'Specific impacts SHC system'!E27</f>
        <v>0</v>
      </c>
      <c r="H27" s="39" t="s">
        <v>102</v>
      </c>
      <c r="I27" s="39">
        <f>'SHC system'!D26*'Specific impacts SHC system'!F27</f>
        <v>0</v>
      </c>
      <c r="J27" s="114">
        <f t="shared" si="1"/>
        <v>0</v>
      </c>
    </row>
    <row r="28" spans="2:10" ht="15.75">
      <c r="B28" s="15" t="str">
        <f>'SHC system'!B29</f>
        <v>Electricity</v>
      </c>
      <c r="C28" s="59" t="s">
        <v>102</v>
      </c>
      <c r="D28" s="59">
        <f>Calculation!C4*'SHC system'!D33</f>
        <v>0</v>
      </c>
      <c r="E28" s="59" t="s">
        <v>102</v>
      </c>
      <c r="F28" s="59">
        <f t="shared" si="0"/>
        <v>0</v>
      </c>
      <c r="G28" s="39" t="s">
        <v>102</v>
      </c>
      <c r="H28" s="39">
        <f>Calculation!D4*'SHC system'!D33</f>
        <v>0</v>
      </c>
      <c r="I28" s="39" t="s">
        <v>102</v>
      </c>
      <c r="J28" s="114">
        <f t="shared" si="1"/>
        <v>0</v>
      </c>
    </row>
    <row r="29" spans="2:10" ht="15.75">
      <c r="B29" s="16" t="str">
        <f>'SHC system'!B30</f>
        <v>Natural gas</v>
      </c>
      <c r="C29" s="59" t="s">
        <v>102</v>
      </c>
      <c r="D29" s="60">
        <f>Calculation!C54*'SHC system'!D33</f>
        <v>0</v>
      </c>
      <c r="E29" s="60" t="s">
        <v>102</v>
      </c>
      <c r="F29" s="60">
        <f>SUM(C29:E29)</f>
        <v>0</v>
      </c>
      <c r="G29" s="61" t="s">
        <v>102</v>
      </c>
      <c r="H29" s="61">
        <f>Calculation!D54*'SHC system'!D33</f>
        <v>0</v>
      </c>
      <c r="I29" s="61" t="s">
        <v>102</v>
      </c>
      <c r="J29" s="92">
        <f>SUM(G29:I29)</f>
        <v>0</v>
      </c>
    </row>
    <row r="30" spans="2:10" ht="15.75">
      <c r="B30" s="56" t="s">
        <v>100</v>
      </c>
      <c r="C30" s="57">
        <f aca="true" t="shared" si="2" ref="C30:J30">SUM(C13:C29)</f>
        <v>0</v>
      </c>
      <c r="D30" s="57">
        <f t="shared" si="2"/>
        <v>0</v>
      </c>
      <c r="E30" s="57">
        <f t="shared" si="2"/>
        <v>0</v>
      </c>
      <c r="F30" s="57">
        <f t="shared" si="2"/>
        <v>0</v>
      </c>
      <c r="G30" s="58">
        <f t="shared" si="2"/>
        <v>0</v>
      </c>
      <c r="H30" s="58">
        <f t="shared" si="2"/>
        <v>0</v>
      </c>
      <c r="I30" s="58">
        <f t="shared" si="2"/>
        <v>0</v>
      </c>
      <c r="J30" s="58">
        <f t="shared" si="2"/>
        <v>0</v>
      </c>
    </row>
    <row r="31" spans="2:10" ht="15.75">
      <c r="B31" s="53"/>
      <c r="C31" s="6"/>
      <c r="D31" s="6"/>
      <c r="E31" s="6"/>
      <c r="F31" s="6"/>
      <c r="G31" s="6"/>
      <c r="H31" s="6"/>
      <c r="I31" s="6"/>
      <c r="J31" s="3"/>
    </row>
    <row r="32" spans="2:10" ht="18.75" customHeight="1">
      <c r="B32" s="54"/>
      <c r="C32" s="6"/>
      <c r="D32" s="6"/>
      <c r="E32" s="6"/>
      <c r="F32" s="6"/>
      <c r="G32" s="6"/>
      <c r="H32" s="6"/>
      <c r="I32" s="6"/>
      <c r="J32" s="3"/>
    </row>
    <row r="33" spans="3:10" ht="18" customHeight="1">
      <c r="C33" s="6"/>
      <c r="D33" s="6"/>
      <c r="E33" s="6"/>
      <c r="F33" s="6"/>
      <c r="G33" s="6"/>
      <c r="H33" s="6"/>
      <c r="I33" s="6"/>
      <c r="J33" s="3"/>
    </row>
    <row r="34" spans="3:10" ht="15">
      <c r="C34" s="6"/>
      <c r="D34" s="6"/>
      <c r="E34" s="6"/>
      <c r="F34" s="6"/>
      <c r="G34" s="6"/>
      <c r="H34" s="6"/>
      <c r="I34" s="6"/>
      <c r="J34" s="3"/>
    </row>
    <row r="35" spans="3:10" ht="15">
      <c r="C35" s="6"/>
      <c r="D35" s="6"/>
      <c r="E35" s="6"/>
      <c r="F35" s="6"/>
      <c r="G35" s="6"/>
      <c r="H35" s="6"/>
      <c r="I35" s="6"/>
      <c r="J35" s="3"/>
    </row>
    <row r="36" spans="3:10" ht="15">
      <c r="C36" s="6"/>
      <c r="D36" s="6"/>
      <c r="E36" s="6"/>
      <c r="F36" s="6"/>
      <c r="G36" s="6"/>
      <c r="H36" s="6"/>
      <c r="I36" s="6"/>
      <c r="J36" s="3"/>
    </row>
    <row r="37" spans="3:10" ht="15">
      <c r="C37" s="6"/>
      <c r="D37" s="6"/>
      <c r="E37" s="6"/>
      <c r="F37" s="6"/>
      <c r="G37" s="6"/>
      <c r="H37" s="6"/>
      <c r="I37" s="6"/>
      <c r="J37" s="3"/>
    </row>
    <row r="38" spans="3:10" ht="15">
      <c r="C38" s="6"/>
      <c r="D38" s="6"/>
      <c r="E38" s="6"/>
      <c r="F38" s="6"/>
      <c r="G38" s="6"/>
      <c r="H38" s="6"/>
      <c r="I38" s="6"/>
      <c r="J38" s="3"/>
    </row>
    <row r="39" spans="3:10" ht="15">
      <c r="C39" s="6"/>
      <c r="D39" s="6"/>
      <c r="E39" s="6"/>
      <c r="F39" s="6"/>
      <c r="G39" s="6"/>
      <c r="H39" s="6"/>
      <c r="I39" s="6"/>
      <c r="J39" s="3"/>
    </row>
    <row r="40" spans="3:10" ht="15">
      <c r="C40" s="6"/>
      <c r="D40" s="6"/>
      <c r="E40" s="6"/>
      <c r="F40" s="6"/>
      <c r="G40" s="6"/>
      <c r="H40" s="6"/>
      <c r="I40" s="6"/>
      <c r="J40" s="3"/>
    </row>
    <row r="41" spans="3:10" ht="15">
      <c r="C41" s="6"/>
      <c r="D41" s="6"/>
      <c r="E41" s="6"/>
      <c r="F41" s="6"/>
      <c r="G41" s="6"/>
      <c r="H41" s="6"/>
      <c r="I41" s="6"/>
      <c r="J41" s="3"/>
    </row>
    <row r="42" spans="3:10" ht="15">
      <c r="C42" s="6"/>
      <c r="D42" s="6"/>
      <c r="E42" s="6"/>
      <c r="F42" s="6"/>
      <c r="G42" s="6"/>
      <c r="H42" s="6"/>
      <c r="I42" s="6"/>
      <c r="J42" s="3"/>
    </row>
    <row r="43" spans="2:10" ht="15">
      <c r="B43" s="55"/>
      <c r="C43" s="4"/>
      <c r="D43" s="5"/>
      <c r="E43" s="3"/>
      <c r="F43" s="3"/>
      <c r="G43" s="3"/>
      <c r="H43" s="3"/>
      <c r="I43" s="3"/>
      <c r="J43" s="3"/>
    </row>
    <row r="44" spans="3:10" ht="15">
      <c r="C44" s="3"/>
      <c r="D44" s="3"/>
      <c r="E44" s="3"/>
      <c r="F44" s="3"/>
      <c r="G44" s="3"/>
      <c r="H44" s="3"/>
      <c r="I44" s="3"/>
      <c r="J44" s="3"/>
    </row>
    <row r="45" spans="3:10" ht="15">
      <c r="C45" s="3"/>
      <c r="D45" s="3"/>
      <c r="E45" s="3"/>
      <c r="F45" s="3"/>
      <c r="G45" s="3"/>
      <c r="H45" s="3"/>
      <c r="I45" s="3"/>
      <c r="J45" s="3"/>
    </row>
  </sheetData>
  <sheetProtection/>
  <mergeCells count="3">
    <mergeCell ref="B11:B12"/>
    <mergeCell ref="C11:F11"/>
    <mergeCell ref="G11:J11"/>
  </mergeCells>
  <hyperlinks>
    <hyperlink ref="B9" location="Index!A1" display="GO TO INDEX"/>
  </hyperlinks>
  <printOptions/>
  <pageMargins left="0.7" right="0.7" top="0.75" bottom="0.75" header="0.3" footer="0.3"/>
  <pageSetup fitToHeight="0"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B9:J36"/>
  <sheetViews>
    <sheetView showGridLines="0" zoomScalePageLayoutView="0" workbookViewId="0" topLeftCell="A1">
      <selection activeCell="H36" sqref="H36"/>
    </sheetView>
  </sheetViews>
  <sheetFormatPr defaultColWidth="9.140625" defaultRowHeight="15"/>
  <cols>
    <col min="2" max="2" width="54.7109375" style="0" customWidth="1"/>
    <col min="3" max="3" width="15.7109375" style="0" bestFit="1" customWidth="1"/>
    <col min="4" max="4" width="10.8515625" style="0" bestFit="1" customWidth="1"/>
    <col min="5" max="5" width="12.00390625" style="0" bestFit="1" customWidth="1"/>
    <col min="6" max="6" width="10.00390625" style="0" bestFit="1" customWidth="1"/>
    <col min="7" max="7" width="15.7109375" style="0" bestFit="1" customWidth="1"/>
    <col min="8" max="8" width="10.8515625" style="0" bestFit="1" customWidth="1"/>
    <col min="9" max="9" width="12.00390625" style="0" bestFit="1" customWidth="1"/>
    <col min="10" max="10" width="11.28125" style="0" customWidth="1"/>
  </cols>
  <sheetData>
    <row r="8" ht="15.75" thickBot="1"/>
    <row r="9" ht="18" thickBot="1">
      <c r="B9" s="101" t="s">
        <v>165</v>
      </c>
    </row>
    <row r="11" spans="2:10" ht="16.5" customHeight="1">
      <c r="B11" s="169" t="s">
        <v>124</v>
      </c>
      <c r="C11" s="171" t="s">
        <v>175</v>
      </c>
      <c r="D11" s="172"/>
      <c r="E11" s="172"/>
      <c r="F11" s="172"/>
      <c r="G11" s="173" t="s">
        <v>176</v>
      </c>
      <c r="H11" s="174"/>
      <c r="I11" s="174"/>
      <c r="J11" s="174"/>
    </row>
    <row r="12" spans="2:10" ht="17.25">
      <c r="B12" s="170"/>
      <c r="C12" s="38" t="s">
        <v>18</v>
      </c>
      <c r="D12" s="38" t="s">
        <v>19</v>
      </c>
      <c r="E12" s="38" t="s">
        <v>20</v>
      </c>
      <c r="F12" s="38" t="s">
        <v>100</v>
      </c>
      <c r="G12" s="37" t="s">
        <v>18</v>
      </c>
      <c r="H12" s="37" t="s">
        <v>19</v>
      </c>
      <c r="I12" s="37" t="s">
        <v>20</v>
      </c>
      <c r="J12" s="37" t="s">
        <v>100</v>
      </c>
    </row>
    <row r="13" spans="2:10" ht="15.75">
      <c r="B13" s="24" t="s">
        <v>167</v>
      </c>
      <c r="C13" s="71">
        <f>'Conventional system'!D12*'Specific impacts conven. system'!B13</f>
        <v>0</v>
      </c>
      <c r="D13" s="71" t="s">
        <v>102</v>
      </c>
      <c r="E13" s="71">
        <f>'Conventional system'!D12*'Specific impacts conven. system'!C13</f>
        <v>0</v>
      </c>
      <c r="F13" s="71">
        <f>SUM(C13:E13)</f>
        <v>0</v>
      </c>
      <c r="G13" s="72">
        <f>'Conventional system'!D12*'Specific impacts conven. system'!E13</f>
        <v>0</v>
      </c>
      <c r="H13" s="72" t="s">
        <v>102</v>
      </c>
      <c r="I13" s="72">
        <f>'Conventional system'!D12*'Specific impacts conven. system'!F13</f>
        <v>0</v>
      </c>
      <c r="J13" s="72">
        <f>SUM(G13:I13)</f>
        <v>0</v>
      </c>
    </row>
    <row r="14" spans="2:10" ht="15.75">
      <c r="B14" s="24" t="s">
        <v>158</v>
      </c>
      <c r="C14" s="71">
        <f>'Conventional system'!D13*'Specific impacts conven. system'!B14</f>
        <v>0</v>
      </c>
      <c r="D14" s="71" t="s">
        <v>102</v>
      </c>
      <c r="E14" s="71">
        <f>'Conventional system'!D13*'Specific impacts conven. system'!C14</f>
        <v>0</v>
      </c>
      <c r="F14" s="71">
        <f>SUM(C14:E14)</f>
        <v>0</v>
      </c>
      <c r="G14" s="72">
        <f>'Conventional system'!D13*'Specific impacts conven. system'!E14</f>
        <v>0</v>
      </c>
      <c r="H14" s="72" t="s">
        <v>102</v>
      </c>
      <c r="I14" s="72">
        <f>'Conventional system'!D13*'Specific impacts conven. system'!F14</f>
        <v>0</v>
      </c>
      <c r="J14" s="72">
        <f>SUM(G14:I14)</f>
        <v>0</v>
      </c>
    </row>
    <row r="15" spans="2:10" ht="15.75">
      <c r="B15" s="24" t="s">
        <v>166</v>
      </c>
      <c r="C15" s="71">
        <f>'Conventional system'!D14*'Specific impacts conven. system'!B15</f>
        <v>0</v>
      </c>
      <c r="D15" s="71" t="s">
        <v>102</v>
      </c>
      <c r="E15" s="71">
        <f>'Conventional system'!D14*'Specific impacts conven. system'!C15</f>
        <v>0</v>
      </c>
      <c r="F15" s="71">
        <f aca="true" t="shared" si="0" ref="F15:F35">SUM(C15:E15)</f>
        <v>0</v>
      </c>
      <c r="G15" s="72">
        <f>'Conventional system'!D14*'Specific impacts conven. system'!E15</f>
        <v>0</v>
      </c>
      <c r="H15" s="72" t="s">
        <v>102</v>
      </c>
      <c r="I15" s="72">
        <f>'Conventional system'!D14*'Specific impacts conven. system'!F15</f>
        <v>0</v>
      </c>
      <c r="J15" s="72">
        <f aca="true" t="shared" si="1" ref="J15:J30">SUM(G15:I15)</f>
        <v>0</v>
      </c>
    </row>
    <row r="16" spans="2:10" ht="15.75">
      <c r="B16" s="24" t="s">
        <v>162</v>
      </c>
      <c r="C16" s="71">
        <f>'Conventional system'!D15*'Specific impacts conven. system'!B16</f>
        <v>0</v>
      </c>
      <c r="D16" s="71" t="s">
        <v>102</v>
      </c>
      <c r="E16" s="71">
        <f>'Conventional system'!D15*'Specific impacts conven. system'!C16</f>
        <v>0</v>
      </c>
      <c r="F16" s="71">
        <f t="shared" si="0"/>
        <v>0</v>
      </c>
      <c r="G16" s="72">
        <f>'Conventional system'!D15*'Specific impacts conven. system'!E16</f>
        <v>0</v>
      </c>
      <c r="H16" s="72" t="s">
        <v>102</v>
      </c>
      <c r="I16" s="72">
        <f>'Conventional system'!D15*'Specific impacts conven. system'!F16</f>
        <v>0</v>
      </c>
      <c r="J16" s="72">
        <f t="shared" si="1"/>
        <v>0</v>
      </c>
    </row>
    <row r="17" spans="2:10" ht="15.75">
      <c r="B17" s="24" t="s">
        <v>161</v>
      </c>
      <c r="C17" s="71">
        <f>'Conventional system'!D16*'Specific impacts conven. system'!B17</f>
        <v>0</v>
      </c>
      <c r="D17" s="71" t="s">
        <v>102</v>
      </c>
      <c r="E17" s="71">
        <f>'Conventional system'!D16*'Specific impacts conven. system'!C17</f>
        <v>0</v>
      </c>
      <c r="F17" s="71">
        <f t="shared" si="0"/>
        <v>0</v>
      </c>
      <c r="G17" s="72">
        <f>'Conventional system'!D16*'Specific impacts conven. system'!E17</f>
        <v>0</v>
      </c>
      <c r="H17" s="72" t="s">
        <v>102</v>
      </c>
      <c r="I17" s="72">
        <f>'Conventional system'!D16*'Specific impacts conven. system'!F17</f>
        <v>0</v>
      </c>
      <c r="J17" s="72">
        <f t="shared" si="1"/>
        <v>0</v>
      </c>
    </row>
    <row r="18" spans="2:10" ht="15.75">
      <c r="B18" s="24" t="s">
        <v>160</v>
      </c>
      <c r="C18" s="71">
        <f>'Conventional system'!D17*'Specific impacts conven. system'!B18</f>
        <v>0</v>
      </c>
      <c r="D18" s="71" t="s">
        <v>102</v>
      </c>
      <c r="E18" s="71">
        <f>'Conventional system'!D17*'Specific impacts conven. system'!C18</f>
        <v>0</v>
      </c>
      <c r="F18" s="71">
        <f t="shared" si="0"/>
        <v>0</v>
      </c>
      <c r="G18" s="72">
        <f>'Conventional system'!D17*'Specific impacts conven. system'!E18</f>
        <v>0</v>
      </c>
      <c r="H18" s="72" t="s">
        <v>102</v>
      </c>
      <c r="I18" s="72">
        <f>'Conventional system'!D17*'Specific impacts conven. system'!F18</f>
        <v>0</v>
      </c>
      <c r="J18" s="72">
        <f t="shared" si="1"/>
        <v>0</v>
      </c>
    </row>
    <row r="19" spans="2:10" ht="15.75">
      <c r="B19" s="24" t="s">
        <v>159</v>
      </c>
      <c r="C19" s="71">
        <f>'Conventional system'!D18*'Specific impacts conven. system'!B19</f>
        <v>0</v>
      </c>
      <c r="D19" s="71" t="s">
        <v>102</v>
      </c>
      <c r="E19" s="71">
        <f>'Conventional system'!D18*'Specific impacts conven. system'!C19</f>
        <v>0</v>
      </c>
      <c r="F19" s="71">
        <f t="shared" si="0"/>
        <v>0</v>
      </c>
      <c r="G19" s="72">
        <f>'Conventional system'!D18*'Specific impacts conven. system'!E19</f>
        <v>0</v>
      </c>
      <c r="H19" s="72" t="s">
        <v>102</v>
      </c>
      <c r="I19" s="72">
        <f>'Conventional system'!D18*'Specific impacts conven. system'!F19</f>
        <v>0</v>
      </c>
      <c r="J19" s="72">
        <f t="shared" si="1"/>
        <v>0</v>
      </c>
    </row>
    <row r="20" spans="2:10" ht="15.75">
      <c r="B20" s="24" t="s">
        <v>163</v>
      </c>
      <c r="C20" s="71">
        <f>'Conventional system'!D19*'Specific impacts conven. system'!B20</f>
        <v>0</v>
      </c>
      <c r="D20" s="71" t="s">
        <v>102</v>
      </c>
      <c r="E20" s="71">
        <f>'Conventional system'!D19*'Specific impacts conven. system'!C20</f>
        <v>0</v>
      </c>
      <c r="F20" s="71">
        <f t="shared" si="0"/>
        <v>0</v>
      </c>
      <c r="G20" s="72">
        <f>'Conventional system'!D19*'Specific impacts conven. system'!E20</f>
        <v>0</v>
      </c>
      <c r="H20" s="72" t="s">
        <v>102</v>
      </c>
      <c r="I20" s="72">
        <f>'Conventional system'!D19*'Specific impacts conven. system'!F20</f>
        <v>0</v>
      </c>
      <c r="J20" s="72">
        <f t="shared" si="1"/>
        <v>0</v>
      </c>
    </row>
    <row r="21" spans="2:10" ht="15.75">
      <c r="B21" s="24" t="s">
        <v>0</v>
      </c>
      <c r="C21" s="71">
        <f>'Conventional system'!D20*'Specific impacts conven. system'!B21</f>
        <v>0</v>
      </c>
      <c r="D21" s="71" t="s">
        <v>102</v>
      </c>
      <c r="E21" s="71">
        <f>'Conventional system'!D20*'Specific impacts conven. system'!C21</f>
        <v>0</v>
      </c>
      <c r="F21" s="71">
        <f t="shared" si="0"/>
        <v>0</v>
      </c>
      <c r="G21" s="72">
        <f>'Conventional system'!D20*'Specific impacts conven. system'!E21</f>
        <v>0</v>
      </c>
      <c r="H21" s="72" t="s">
        <v>102</v>
      </c>
      <c r="I21" s="72">
        <f>'Conventional system'!D20*'Specific impacts conven. system'!F21</f>
        <v>0</v>
      </c>
      <c r="J21" s="72">
        <f t="shared" si="1"/>
        <v>0</v>
      </c>
    </row>
    <row r="22" spans="2:10" ht="15.75">
      <c r="B22" s="24" t="s">
        <v>139</v>
      </c>
      <c r="C22" s="71">
        <f>'Conventional system'!D21*'Specific impacts conven. system'!B22</f>
        <v>0</v>
      </c>
      <c r="D22" s="71" t="s">
        <v>102</v>
      </c>
      <c r="E22" s="71">
        <f>'Conventional system'!D21*'Specific impacts conven. system'!C22</f>
        <v>0</v>
      </c>
      <c r="F22" s="71">
        <f t="shared" si="0"/>
        <v>0</v>
      </c>
      <c r="G22" s="72">
        <f>'Conventional system'!D21*'Specific impacts conven. system'!E22</f>
        <v>0</v>
      </c>
      <c r="H22" s="72" t="s">
        <v>102</v>
      </c>
      <c r="I22" s="72">
        <f>'Conventional system'!D21*'Specific impacts conven. system'!F22</f>
        <v>0</v>
      </c>
      <c r="J22" s="72">
        <f t="shared" si="1"/>
        <v>0</v>
      </c>
    </row>
    <row r="23" spans="2:10" ht="15.75">
      <c r="B23" s="24" t="s">
        <v>181</v>
      </c>
      <c r="C23" s="71">
        <f>'Conventional system'!D22*'Specific impacts conven. system'!B23</f>
        <v>0</v>
      </c>
      <c r="D23" s="71" t="s">
        <v>102</v>
      </c>
      <c r="E23" s="71">
        <f>'Conventional system'!D22*'Specific impacts conven. system'!C23</f>
        <v>0</v>
      </c>
      <c r="F23" s="71">
        <f t="shared" si="0"/>
        <v>0</v>
      </c>
      <c r="G23" s="72">
        <f>'Conventional system'!D22*'Specific impacts conven. system'!E23</f>
        <v>0</v>
      </c>
      <c r="H23" s="72" t="s">
        <v>102</v>
      </c>
      <c r="I23" s="72">
        <f>'Conventional system'!D22*'Specific impacts conven. system'!F23</f>
        <v>0</v>
      </c>
      <c r="J23" s="72">
        <f t="shared" si="1"/>
        <v>0</v>
      </c>
    </row>
    <row r="24" spans="2:10" ht="15.75">
      <c r="B24" s="24" t="s">
        <v>183</v>
      </c>
      <c r="C24" s="71">
        <f>'Conventional system'!D23*'Specific impacts conven. system'!B24</f>
        <v>0</v>
      </c>
      <c r="D24" s="71" t="s">
        <v>102</v>
      </c>
      <c r="E24" s="71">
        <f>'Conventional system'!D23*'Specific impacts conven. system'!C24</f>
        <v>0</v>
      </c>
      <c r="F24" s="71">
        <f t="shared" si="0"/>
        <v>0</v>
      </c>
      <c r="G24" s="72">
        <f>'Conventional system'!D23*'Specific impacts conven. system'!E24</f>
        <v>0</v>
      </c>
      <c r="H24" s="72" t="s">
        <v>102</v>
      </c>
      <c r="I24" s="72">
        <f>'Conventional system'!D23*'Specific impacts conven. system'!F24</f>
        <v>0</v>
      </c>
      <c r="J24" s="72">
        <f t="shared" si="1"/>
        <v>0</v>
      </c>
    </row>
    <row r="25" spans="2:10" ht="15.75">
      <c r="B25" s="24" t="s">
        <v>184</v>
      </c>
      <c r="C25" s="71">
        <f>'Conventional system'!D24*'Specific impacts conven. system'!B25</f>
        <v>0</v>
      </c>
      <c r="D25" s="71" t="s">
        <v>102</v>
      </c>
      <c r="E25" s="71">
        <f>'Conventional system'!D24*'Specific impacts conven. system'!C25</f>
        <v>0</v>
      </c>
      <c r="F25" s="71">
        <f t="shared" si="0"/>
        <v>0</v>
      </c>
      <c r="G25" s="72">
        <f>'Conventional system'!D24*'Specific impacts conven. system'!E25</f>
        <v>0</v>
      </c>
      <c r="H25" s="72" t="s">
        <v>102</v>
      </c>
      <c r="I25" s="72">
        <f>'Conventional system'!D24*'Specific impacts conven. system'!F25</f>
        <v>0</v>
      </c>
      <c r="J25" s="72">
        <f t="shared" si="1"/>
        <v>0</v>
      </c>
    </row>
    <row r="26" spans="2:10" ht="15.75">
      <c r="B26" s="24" t="s">
        <v>9</v>
      </c>
      <c r="C26" s="71">
        <f>'Conventional system'!D25*'Specific impacts conven. system'!B26</f>
        <v>0</v>
      </c>
      <c r="D26" s="71" t="s">
        <v>102</v>
      </c>
      <c r="E26" s="71">
        <f>'Conventional system'!D25*'Specific impacts conven. system'!C26</f>
        <v>0</v>
      </c>
      <c r="F26" s="71">
        <f t="shared" si="0"/>
        <v>0</v>
      </c>
      <c r="G26" s="72">
        <f>'Conventional system'!D25*'Specific impacts conven. system'!E26</f>
        <v>0</v>
      </c>
      <c r="H26" s="72" t="s">
        <v>102</v>
      </c>
      <c r="I26" s="72">
        <f>'Conventional system'!D25*'Specific impacts conven. system'!F26</f>
        <v>0</v>
      </c>
      <c r="J26" s="72">
        <f t="shared" si="1"/>
        <v>0</v>
      </c>
    </row>
    <row r="27" spans="2:10" ht="15.75">
      <c r="B27" s="24" t="s">
        <v>10</v>
      </c>
      <c r="C27" s="71">
        <f>'Conventional system'!D26*'Specific impacts conven. system'!B27</f>
        <v>0</v>
      </c>
      <c r="D27" s="71" t="s">
        <v>102</v>
      </c>
      <c r="E27" s="71">
        <f>'Conventional system'!D26*'Specific impacts conven. system'!C27</f>
        <v>0</v>
      </c>
      <c r="F27" s="71">
        <f t="shared" si="0"/>
        <v>0</v>
      </c>
      <c r="G27" s="72">
        <f>'Conventional system'!D26*'Specific impacts conven. system'!E27</f>
        <v>0</v>
      </c>
      <c r="H27" s="72" t="s">
        <v>102</v>
      </c>
      <c r="I27" s="72">
        <f>'Conventional system'!D26*'Specific impacts conven. system'!F27</f>
        <v>0</v>
      </c>
      <c r="J27" s="72">
        <f t="shared" si="1"/>
        <v>0</v>
      </c>
    </row>
    <row r="28" spans="2:10" ht="15.75">
      <c r="B28" s="24" t="s">
        <v>11</v>
      </c>
      <c r="C28" s="71">
        <f>'Conventional system'!D27*'Specific impacts conven. system'!B28</f>
        <v>0</v>
      </c>
      <c r="D28" s="71" t="s">
        <v>102</v>
      </c>
      <c r="E28" s="71">
        <f>'Conventional system'!D27*'Specific impacts conven. system'!C28</f>
        <v>0</v>
      </c>
      <c r="F28" s="71">
        <f t="shared" si="0"/>
        <v>0</v>
      </c>
      <c r="G28" s="72">
        <f>'Conventional system'!D27*'Specific impacts conven. system'!E28</f>
        <v>0</v>
      </c>
      <c r="H28" s="72" t="s">
        <v>102</v>
      </c>
      <c r="I28" s="72">
        <f>'Conventional system'!D27*'Specific impacts conven. system'!F28</f>
        <v>0</v>
      </c>
      <c r="J28" s="72">
        <f t="shared" si="1"/>
        <v>0</v>
      </c>
    </row>
    <row r="29" spans="2:10" ht="15.75">
      <c r="B29" s="24" t="s">
        <v>12</v>
      </c>
      <c r="C29" s="71">
        <f>'Conventional system'!D28*'Specific impacts conven. system'!B29</f>
        <v>0</v>
      </c>
      <c r="D29" s="71" t="s">
        <v>102</v>
      </c>
      <c r="E29" s="71">
        <f>'Conventional system'!D28*'Specific impacts conven. system'!C29</f>
        <v>0</v>
      </c>
      <c r="F29" s="71">
        <f>SUM(C29:E29)</f>
        <v>0</v>
      </c>
      <c r="G29" s="72">
        <f>'Conventional system'!D28*'Specific impacts conven. system'!E29</f>
        <v>0</v>
      </c>
      <c r="H29" s="72" t="s">
        <v>102</v>
      </c>
      <c r="I29" s="72">
        <f>'Conventional system'!D28*'Specific impacts conven. system'!F29</f>
        <v>0</v>
      </c>
      <c r="J29" s="72">
        <f>SUM(G29:I29)</f>
        <v>0</v>
      </c>
    </row>
    <row r="30" spans="2:10" ht="15.75">
      <c r="B30" s="24" t="s">
        <v>13</v>
      </c>
      <c r="C30" s="71">
        <f>'Conventional system'!D29*'Specific impacts conven. system'!B30</f>
        <v>0</v>
      </c>
      <c r="D30" s="71" t="s">
        <v>102</v>
      </c>
      <c r="E30" s="71">
        <f>'Conventional system'!D29*'Specific impacts conven. system'!C30</f>
        <v>0</v>
      </c>
      <c r="F30" s="71">
        <f>SUM(C30:E30)</f>
        <v>0</v>
      </c>
      <c r="G30" s="72">
        <f>'Conventional system'!D29*'Specific impacts conven. system'!E30</f>
        <v>0</v>
      </c>
      <c r="H30" s="72" t="s">
        <v>102</v>
      </c>
      <c r="I30" s="72">
        <f>'Conventional system'!D29*'Specific impacts conven. system'!F30</f>
        <v>0</v>
      </c>
      <c r="J30" s="72">
        <f t="shared" si="1"/>
        <v>0</v>
      </c>
    </row>
    <row r="31" spans="2:10" ht="15.75">
      <c r="B31" s="24" t="s">
        <v>14</v>
      </c>
      <c r="C31" s="71">
        <f>'Conventional system'!D30*'Specific impacts conven. system'!B31</f>
        <v>0</v>
      </c>
      <c r="D31" s="71" t="s">
        <v>102</v>
      </c>
      <c r="E31" s="71">
        <f>'Conventional system'!D30*'Specific impacts conven. system'!C31</f>
        <v>0</v>
      </c>
      <c r="F31" s="71">
        <f t="shared" si="0"/>
        <v>0</v>
      </c>
      <c r="G31" s="72">
        <f>'Conventional system'!D30*'Specific impacts conven. system'!E31</f>
        <v>0</v>
      </c>
      <c r="H31" s="72" t="s">
        <v>102</v>
      </c>
      <c r="I31" s="72">
        <f>'Conventional system'!D30*'Specific impacts conven. system'!F31</f>
        <v>0</v>
      </c>
      <c r="J31" s="72">
        <f>SUM(G31:I31)</f>
        <v>0</v>
      </c>
    </row>
    <row r="32" spans="2:10" ht="15.75">
      <c r="B32" s="24" t="s">
        <v>4</v>
      </c>
      <c r="C32" s="71">
        <f>'Conventional system'!D31*'Specific impacts conven. system'!B32</f>
        <v>0</v>
      </c>
      <c r="D32" s="71" t="s">
        <v>102</v>
      </c>
      <c r="E32" s="71">
        <f>'Conventional system'!D31*'Specific impacts conven. system'!C32</f>
        <v>0</v>
      </c>
      <c r="F32" s="71">
        <f t="shared" si="0"/>
        <v>0</v>
      </c>
      <c r="G32" s="72">
        <f>'Conventional system'!D31*'Specific impacts conven. system'!E32</f>
        <v>0</v>
      </c>
      <c r="H32" s="72" t="s">
        <v>102</v>
      </c>
      <c r="I32" s="72">
        <f>'Conventional system'!D31*'Specific impacts conven. system'!F32</f>
        <v>0</v>
      </c>
      <c r="J32" s="72">
        <f>SUM(G32:I32)</f>
        <v>0</v>
      </c>
    </row>
    <row r="33" spans="2:10" ht="15.75">
      <c r="B33" s="24" t="s">
        <v>170</v>
      </c>
      <c r="C33" s="71">
        <f>'Conventional system'!D32*'Specific impacts conven. system'!B33</f>
        <v>0</v>
      </c>
      <c r="D33" s="71" t="s">
        <v>102</v>
      </c>
      <c r="E33" s="71">
        <f>'Conventional system'!D32*'Specific impacts conven. system'!C33</f>
        <v>0</v>
      </c>
      <c r="F33" s="71">
        <f t="shared" si="0"/>
        <v>0</v>
      </c>
      <c r="G33" s="72">
        <f>'Conventional system'!D32*'Specific impacts conven. system'!E33</f>
        <v>0</v>
      </c>
      <c r="H33" s="72" t="s">
        <v>102</v>
      </c>
      <c r="I33" s="72">
        <f>'Conventional system'!D32*'Specific impacts conven. system'!F33</f>
        <v>0</v>
      </c>
      <c r="J33" s="72">
        <f>SUM(G33:I33)</f>
        <v>0</v>
      </c>
    </row>
    <row r="34" spans="2:10" ht="15.75">
      <c r="B34" s="24" t="str">
        <f>'Conventional system'!B36</f>
        <v>Electricity</v>
      </c>
      <c r="C34" s="124" t="s">
        <v>102</v>
      </c>
      <c r="D34" s="71">
        <f>Calculation!G4*'Conventional system'!D40</f>
        <v>0</v>
      </c>
      <c r="E34" s="124" t="s">
        <v>102</v>
      </c>
      <c r="F34" s="71">
        <f t="shared" si="0"/>
        <v>0</v>
      </c>
      <c r="G34" s="125" t="s">
        <v>102</v>
      </c>
      <c r="H34" s="72">
        <f>Calculation!H4*'Conventional system'!D40</f>
        <v>0</v>
      </c>
      <c r="I34" s="125" t="s">
        <v>102</v>
      </c>
      <c r="J34" s="72">
        <f>SUM(G34:I34)</f>
        <v>0</v>
      </c>
    </row>
    <row r="35" spans="2:10" ht="15.75">
      <c r="B35" s="25" t="str">
        <f>'Conventional system'!B37</f>
        <v>Natural gas</v>
      </c>
      <c r="C35" s="124" t="s">
        <v>102</v>
      </c>
      <c r="D35" s="71">
        <f>Calculation!G54*'Conventional system'!D40</f>
        <v>0</v>
      </c>
      <c r="E35" s="124" t="s">
        <v>102</v>
      </c>
      <c r="F35" s="71">
        <f t="shared" si="0"/>
        <v>0</v>
      </c>
      <c r="G35" s="125" t="s">
        <v>102</v>
      </c>
      <c r="H35" s="72">
        <f>Calculation!H54*'Conventional system'!D40</f>
        <v>0</v>
      </c>
      <c r="I35" s="125" t="s">
        <v>102</v>
      </c>
      <c r="J35" s="72">
        <f>SUM(G35:I35)</f>
        <v>0</v>
      </c>
    </row>
    <row r="36" spans="2:10" ht="15.75">
      <c r="B36" s="56" t="s">
        <v>100</v>
      </c>
      <c r="C36" s="57">
        <f aca="true" t="shared" si="2" ref="C36:J36">SUM(C13:C35)</f>
        <v>0</v>
      </c>
      <c r="D36" s="57">
        <f t="shared" si="2"/>
        <v>0</v>
      </c>
      <c r="E36" s="57">
        <f t="shared" si="2"/>
        <v>0</v>
      </c>
      <c r="F36" s="57">
        <f t="shared" si="2"/>
        <v>0</v>
      </c>
      <c r="G36" s="58">
        <f t="shared" si="2"/>
        <v>0</v>
      </c>
      <c r="H36" s="58">
        <f t="shared" si="2"/>
        <v>0</v>
      </c>
      <c r="I36" s="58">
        <f t="shared" si="2"/>
        <v>0</v>
      </c>
      <c r="J36" s="58">
        <f t="shared" si="2"/>
        <v>0</v>
      </c>
    </row>
  </sheetData>
  <sheetProtection/>
  <mergeCells count="3">
    <mergeCell ref="B11:B12"/>
    <mergeCell ref="C11:F11"/>
    <mergeCell ref="G11:J11"/>
  </mergeCells>
  <hyperlinks>
    <hyperlink ref="B9" location="Index!A1" display="GO TO INDEX"/>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9:J21"/>
  <sheetViews>
    <sheetView showGridLines="0" zoomScalePageLayoutView="0" workbookViewId="0" topLeftCell="A1">
      <selection activeCell="A1" sqref="A1"/>
    </sheetView>
  </sheetViews>
  <sheetFormatPr defaultColWidth="9.140625" defaultRowHeight="15"/>
  <cols>
    <col min="2" max="2" width="28.28125" style="0" bestFit="1" customWidth="1"/>
    <col min="3" max="3" width="19.7109375" style="0" bestFit="1" customWidth="1"/>
    <col min="4" max="4" width="14.00390625" style="0" bestFit="1" customWidth="1"/>
    <col min="5" max="5" width="15.57421875" style="0" bestFit="1" customWidth="1"/>
    <col min="6" max="6" width="11.57421875" style="0" bestFit="1" customWidth="1"/>
    <col min="7" max="7" width="19.7109375" style="0" bestFit="1" customWidth="1"/>
    <col min="8" max="8" width="14.00390625" style="0" bestFit="1" customWidth="1"/>
    <col min="9" max="9" width="15.57421875" style="0" bestFit="1" customWidth="1"/>
    <col min="10" max="10" width="10.421875" style="0" bestFit="1" customWidth="1"/>
  </cols>
  <sheetData>
    <row r="8" ht="15.75" thickBot="1"/>
    <row r="9" ht="18" thickBot="1">
      <c r="B9" s="101" t="s">
        <v>165</v>
      </c>
    </row>
    <row r="11" spans="2:10" ht="16.5" customHeight="1">
      <c r="B11" s="175" t="s">
        <v>157</v>
      </c>
      <c r="C11" s="171" t="s">
        <v>175</v>
      </c>
      <c r="D11" s="172"/>
      <c r="E11" s="172"/>
      <c r="F11" s="172"/>
      <c r="G11" s="173" t="s">
        <v>176</v>
      </c>
      <c r="H11" s="174"/>
      <c r="I11" s="174"/>
      <c r="J11" s="174"/>
    </row>
    <row r="12" spans="2:10" ht="16.5" customHeight="1">
      <c r="B12" s="176"/>
      <c r="C12" s="38" t="s">
        <v>18</v>
      </c>
      <c r="D12" s="38" t="s">
        <v>19</v>
      </c>
      <c r="E12" s="38" t="s">
        <v>20</v>
      </c>
      <c r="F12" s="38" t="s">
        <v>100</v>
      </c>
      <c r="G12" s="37" t="s">
        <v>18</v>
      </c>
      <c r="H12" s="37" t="s">
        <v>19</v>
      </c>
      <c r="I12" s="37" t="s">
        <v>20</v>
      </c>
      <c r="J12" s="37" t="s">
        <v>100</v>
      </c>
    </row>
    <row r="13" spans="2:10" ht="15.75">
      <c r="B13" s="95" t="s">
        <v>125</v>
      </c>
      <c r="C13" s="93">
        <f>'Total impacts SHC system'!C30</f>
        <v>0</v>
      </c>
      <c r="D13" s="93">
        <f>'Total impacts SHC system'!D30</f>
        <v>0</v>
      </c>
      <c r="E13" s="93">
        <f>'Total impacts SHC system'!E30</f>
        <v>0</v>
      </c>
      <c r="F13" s="93">
        <f>'Total impacts SHC system'!F30</f>
        <v>0</v>
      </c>
      <c r="G13" s="91">
        <f>'Total impacts SHC system'!G30</f>
        <v>0</v>
      </c>
      <c r="H13" s="91">
        <f>'Total impacts SHC system'!H30</f>
        <v>0</v>
      </c>
      <c r="I13" s="91">
        <f>'Total impacts SHC system'!I30</f>
        <v>0</v>
      </c>
      <c r="J13" s="91">
        <f>'Total impacts SHC system'!J30</f>
        <v>0</v>
      </c>
    </row>
    <row r="14" spans="2:10" ht="15.75">
      <c r="B14" s="96" t="s">
        <v>126</v>
      </c>
      <c r="C14" s="94">
        <f>'Total impacts convent. system'!C36</f>
        <v>0</v>
      </c>
      <c r="D14" s="94">
        <f>'Total impacts convent. system'!D36</f>
        <v>0</v>
      </c>
      <c r="E14" s="94">
        <f>'Total impacts convent. system'!E36</f>
        <v>0</v>
      </c>
      <c r="F14" s="94">
        <f>'Total impacts convent. system'!F36</f>
        <v>0</v>
      </c>
      <c r="G14" s="92">
        <f>'Total impacts convent. system'!G36</f>
        <v>0</v>
      </c>
      <c r="H14" s="92">
        <f>'Total impacts convent. system'!H36</f>
        <v>0</v>
      </c>
      <c r="I14" s="92">
        <f>'Total impacts convent. system'!I36</f>
        <v>0</v>
      </c>
      <c r="J14" s="92">
        <f>'Total impacts convent. system'!J36</f>
        <v>0</v>
      </c>
    </row>
    <row r="15" spans="3:10" ht="15.75">
      <c r="C15" s="64"/>
      <c r="D15" s="64"/>
      <c r="E15" s="64"/>
      <c r="F15" s="64"/>
      <c r="G15" s="64"/>
      <c r="H15" s="64"/>
      <c r="I15" s="64"/>
      <c r="J15" s="64"/>
    </row>
    <row r="16" spans="3:10" ht="15.75">
      <c r="C16" s="64"/>
      <c r="D16" s="64"/>
      <c r="E16" s="64"/>
      <c r="F16" s="64"/>
      <c r="G16" s="64"/>
      <c r="H16" s="64"/>
      <c r="I16" s="64"/>
      <c r="J16" s="64"/>
    </row>
    <row r="17" spans="3:10" ht="15.75">
      <c r="C17" s="64"/>
      <c r="D17" s="64"/>
      <c r="E17" s="64"/>
      <c r="F17" s="64"/>
      <c r="G17" s="64"/>
      <c r="H17" s="64"/>
      <c r="I17" s="64"/>
      <c r="J17" s="64"/>
    </row>
    <row r="18" spans="3:10" ht="15.75">
      <c r="C18" s="64"/>
      <c r="D18" s="64"/>
      <c r="E18" s="64"/>
      <c r="F18" s="64"/>
      <c r="G18" s="64"/>
      <c r="H18" s="64"/>
      <c r="I18" s="64"/>
      <c r="J18" s="64"/>
    </row>
    <row r="19" spans="3:10" ht="15.75">
      <c r="C19" s="64"/>
      <c r="D19" s="64"/>
      <c r="E19" s="64"/>
      <c r="F19" s="64"/>
      <c r="G19" s="64"/>
      <c r="H19" s="64"/>
      <c r="I19" s="64"/>
      <c r="J19" s="64"/>
    </row>
    <row r="20" spans="3:10" ht="15.75">
      <c r="C20" s="64"/>
      <c r="D20" s="64"/>
      <c r="E20" s="64"/>
      <c r="F20" s="64"/>
      <c r="G20" s="64"/>
      <c r="H20" s="64"/>
      <c r="I20" s="64"/>
      <c r="J20" s="64"/>
    </row>
    <row r="21" spans="3:10" ht="15.75">
      <c r="C21" s="64"/>
      <c r="D21" s="64"/>
      <c r="E21" s="64"/>
      <c r="F21" s="64"/>
      <c r="G21" s="64"/>
      <c r="H21" s="64"/>
      <c r="I21" s="64"/>
      <c r="J21" s="64"/>
    </row>
  </sheetData>
  <sheetProtection/>
  <mergeCells count="3">
    <mergeCell ref="C11:F11"/>
    <mergeCell ref="G11:J11"/>
    <mergeCell ref="B11:B12"/>
  </mergeCells>
  <hyperlinks>
    <hyperlink ref="B9" location="Index!A1" display="GO TO INDEX"/>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2015-08-03T11:01:34Z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